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EstaPastaDeTrabalho"/>
  <mc:AlternateContent xmlns:mc="http://schemas.openxmlformats.org/markup-compatibility/2006">
    <mc:Choice Requires="x15">
      <x15ac:absPath xmlns:x15ac="http://schemas.microsoft.com/office/spreadsheetml/2010/11/ac" url="https://d.docs.live.net/3d97c270e6709578/Desktop/BOVESPA/Versões planilhas Bovespa/"/>
    </mc:Choice>
  </mc:AlternateContent>
  <xr:revisionPtr revIDLastSave="388" documentId="13_ncr:1_{3E158547-3052-4A34-91D0-5A2D64C3637F}" xr6:coauthVersionLast="47" xr6:coauthVersionMax="47" xr10:uidLastSave="{0D3276E6-7AA6-43DC-8706-FCDE168675F5}"/>
  <bookViews>
    <workbookView xWindow="-120" yWindow="-120" windowWidth="20730" windowHeight="11160" xr2:uid="{00000000-000D-0000-FFFF-FFFF00000000}"/>
  </bookViews>
  <sheets>
    <sheet name="Bovespa" sheetId="1" r:id="rId1"/>
    <sheet name="Streamlit" sheetId="9" r:id="rId2"/>
    <sheet name="Planilha3" sheetId="10" r:id="rId3"/>
    <sheet name="Fundamentus" sheetId="6" r:id="rId4"/>
    <sheet name="Planilha1" sheetId="4" r:id="rId5"/>
    <sheet name="Planilha2" sheetId="3" r:id="rId6"/>
  </sheets>
  <definedNames>
    <definedName name="_xlnm._FilterDatabase" localSheetId="0" hidden="1">Bovespa!$A$5:$FP$271</definedName>
    <definedName name="_xlnm._FilterDatabase" localSheetId="3"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J124" i="1" l="1" a="1"/>
  <c r="BJ124" i="1" s="1"/>
  <c r="BJ90" i="1" a="1"/>
  <c r="BJ90" i="1" s="1"/>
  <c r="BY90" i="1" s="1"/>
  <c r="CF90" i="1"/>
  <c r="DW7" i="1"/>
  <c r="DW8" i="1"/>
  <c r="DW9"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39" i="1"/>
  <c r="DW40" i="1"/>
  <c r="DW41" i="1"/>
  <c r="DW42"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W78" i="1"/>
  <c r="DW79" i="1"/>
  <c r="DW80" i="1"/>
  <c r="DW81" i="1"/>
  <c r="DW82" i="1"/>
  <c r="DW83" i="1"/>
  <c r="DW84" i="1"/>
  <c r="DW85" i="1"/>
  <c r="DW86" i="1"/>
  <c r="DW87" i="1"/>
  <c r="DW88" i="1"/>
  <c r="DW89" i="1"/>
  <c r="DW90" i="1"/>
  <c r="DW91" i="1"/>
  <c r="DW92" i="1"/>
  <c r="DW93" i="1"/>
  <c r="DW94" i="1"/>
  <c r="DW95" i="1"/>
  <c r="DW96" i="1"/>
  <c r="DW97" i="1"/>
  <c r="DW98" i="1"/>
  <c r="DW99" i="1"/>
  <c r="DW100" i="1"/>
  <c r="DW101" i="1"/>
  <c r="DW102" i="1"/>
  <c r="DW103" i="1"/>
  <c r="DW104" i="1"/>
  <c r="DW105" i="1"/>
  <c r="DW106" i="1"/>
  <c r="DW107" i="1"/>
  <c r="DW108" i="1"/>
  <c r="DW109" i="1"/>
  <c r="DW110" i="1"/>
  <c r="DW111" i="1"/>
  <c r="DW112" i="1"/>
  <c r="DW113" i="1"/>
  <c r="DW114" i="1"/>
  <c r="DW115" i="1"/>
  <c r="DW116" i="1"/>
  <c r="DW117" i="1"/>
  <c r="DW118" i="1"/>
  <c r="DW119" i="1"/>
  <c r="DW120" i="1"/>
  <c r="DW121" i="1"/>
  <c r="DW122" i="1"/>
  <c r="DW123" i="1"/>
  <c r="DW124" i="1"/>
  <c r="DW125" i="1"/>
  <c r="DW126" i="1"/>
  <c r="DW127" i="1"/>
  <c r="DW128" i="1"/>
  <c r="DW129" i="1"/>
  <c r="DW130" i="1"/>
  <c r="DW131" i="1"/>
  <c r="DW132" i="1"/>
  <c r="DW133" i="1"/>
  <c r="DW134" i="1"/>
  <c r="DW135" i="1"/>
  <c r="DW136" i="1"/>
  <c r="DW137" i="1"/>
  <c r="DW138" i="1"/>
  <c r="DW139" i="1"/>
  <c r="DW140" i="1"/>
  <c r="DW141" i="1"/>
  <c r="DW142" i="1"/>
  <c r="DW143" i="1"/>
  <c r="DW144" i="1"/>
  <c r="DW145" i="1"/>
  <c r="DW146" i="1"/>
  <c r="DW147" i="1"/>
  <c r="DW148" i="1"/>
  <c r="DW149" i="1"/>
  <c r="DW150" i="1"/>
  <c r="DW151" i="1"/>
  <c r="DW152" i="1"/>
  <c r="DW153" i="1"/>
  <c r="DW154" i="1"/>
  <c r="DW155" i="1"/>
  <c r="DW156" i="1"/>
  <c r="DW157" i="1"/>
  <c r="DW158" i="1"/>
  <c r="DW159" i="1"/>
  <c r="DW160" i="1"/>
  <c r="DW161" i="1"/>
  <c r="DW162" i="1"/>
  <c r="DW163" i="1"/>
  <c r="DW164" i="1"/>
  <c r="DW165" i="1"/>
  <c r="DW166" i="1"/>
  <c r="DW167" i="1"/>
  <c r="DW168" i="1"/>
  <c r="DW169" i="1"/>
  <c r="DW170" i="1"/>
  <c r="DW171" i="1"/>
  <c r="DW172" i="1"/>
  <c r="DW173" i="1"/>
  <c r="DW174" i="1"/>
  <c r="DW175" i="1"/>
  <c r="DW176" i="1"/>
  <c r="DW177" i="1"/>
  <c r="DW178" i="1"/>
  <c r="DW179" i="1"/>
  <c r="DW180" i="1"/>
  <c r="DW181" i="1"/>
  <c r="DW182" i="1"/>
  <c r="DW183" i="1"/>
  <c r="DW184" i="1"/>
  <c r="DW185" i="1"/>
  <c r="DW186" i="1"/>
  <c r="DW187" i="1"/>
  <c r="DW188" i="1"/>
  <c r="DW189" i="1"/>
  <c r="DW190" i="1"/>
  <c r="DW191" i="1"/>
  <c r="DW192" i="1"/>
  <c r="DW193" i="1"/>
  <c r="DW194" i="1"/>
  <c r="DW195" i="1"/>
  <c r="DW196" i="1"/>
  <c r="DW197" i="1"/>
  <c r="DW198" i="1"/>
  <c r="DW199" i="1"/>
  <c r="DW200" i="1"/>
  <c r="DW201" i="1"/>
  <c r="DW202" i="1"/>
  <c r="DW203" i="1"/>
  <c r="DW204" i="1"/>
  <c r="DW205" i="1"/>
  <c r="DW206" i="1"/>
  <c r="DW207" i="1"/>
  <c r="DW208" i="1"/>
  <c r="DW209" i="1"/>
  <c r="DW210" i="1"/>
  <c r="DW211" i="1"/>
  <c r="DW212" i="1"/>
  <c r="DW213" i="1"/>
  <c r="DW214" i="1"/>
  <c r="DW215" i="1"/>
  <c r="DW216" i="1"/>
  <c r="DW217" i="1"/>
  <c r="DW218" i="1"/>
  <c r="DW219" i="1"/>
  <c r="DW220" i="1"/>
  <c r="DW221" i="1"/>
  <c r="DW222" i="1"/>
  <c r="DW223" i="1"/>
  <c r="DW224" i="1"/>
  <c r="DW225" i="1"/>
  <c r="DW226" i="1"/>
  <c r="DW227" i="1"/>
  <c r="DW228" i="1"/>
  <c r="DW229" i="1"/>
  <c r="DW230" i="1"/>
  <c r="DW231" i="1"/>
  <c r="DW232" i="1"/>
  <c r="DW233" i="1"/>
  <c r="DW234" i="1"/>
  <c r="DW235" i="1"/>
  <c r="DW236" i="1"/>
  <c r="DW237" i="1"/>
  <c r="DW238" i="1"/>
  <c r="DW239" i="1"/>
  <c r="DW240" i="1"/>
  <c r="DW241" i="1"/>
  <c r="DW242" i="1"/>
  <c r="DW243" i="1"/>
  <c r="DW244" i="1"/>
  <c r="DW245" i="1"/>
  <c r="DW246" i="1"/>
  <c r="DW247" i="1"/>
  <c r="DW248" i="1"/>
  <c r="DW249" i="1"/>
  <c r="DW250" i="1"/>
  <c r="DW251" i="1"/>
  <c r="DW252" i="1"/>
  <c r="DW253" i="1"/>
  <c r="DW254" i="1"/>
  <c r="DW255" i="1"/>
  <c r="DW256" i="1"/>
  <c r="DW257" i="1"/>
  <c r="DW258" i="1"/>
  <c r="DW259" i="1"/>
  <c r="DW260" i="1"/>
  <c r="DW261" i="1"/>
  <c r="DW262" i="1"/>
  <c r="DW263" i="1"/>
  <c r="DW264" i="1"/>
  <c r="DW265" i="1"/>
  <c r="DW266" i="1"/>
  <c r="DW267" i="1"/>
  <c r="DW268" i="1"/>
  <c r="DW269" i="1"/>
  <c r="DW270" i="1"/>
  <c r="DW271" i="1"/>
  <c r="DW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CF44" i="1"/>
  <c r="CF45" i="1"/>
  <c r="CF46" i="1"/>
  <c r="CF47" i="1"/>
  <c r="CF48" i="1"/>
  <c r="CF49" i="1"/>
  <c r="CF50" i="1"/>
  <c r="CF51" i="1"/>
  <c r="CF52" i="1"/>
  <c r="CF53" i="1"/>
  <c r="CF54" i="1"/>
  <c r="CF55" i="1"/>
  <c r="CF56" i="1"/>
  <c r="CF57" i="1"/>
  <c r="CF58" i="1"/>
  <c r="CF59" i="1"/>
  <c r="CF60" i="1"/>
  <c r="CF61" i="1"/>
  <c r="CF62" i="1"/>
  <c r="CF63" i="1"/>
  <c r="CF64" i="1"/>
  <c r="CF65" i="1"/>
  <c r="CF66" i="1"/>
  <c r="CF67" i="1"/>
  <c r="CF68" i="1"/>
  <c r="CF69" i="1"/>
  <c r="CF70" i="1"/>
  <c r="CF71" i="1"/>
  <c r="CF72" i="1"/>
  <c r="CF73" i="1"/>
  <c r="CF74" i="1"/>
  <c r="CF75" i="1"/>
  <c r="CF76" i="1"/>
  <c r="CF77" i="1"/>
  <c r="CF78" i="1"/>
  <c r="CF79" i="1"/>
  <c r="CF80" i="1"/>
  <c r="CF81" i="1"/>
  <c r="CF82" i="1"/>
  <c r="CF83" i="1"/>
  <c r="CF84" i="1"/>
  <c r="CF85" i="1"/>
  <c r="CF86" i="1"/>
  <c r="CF87" i="1"/>
  <c r="CF88" i="1"/>
  <c r="CF89" i="1"/>
  <c r="CF91" i="1"/>
  <c r="CF92" i="1"/>
  <c r="CF93" i="1"/>
  <c r="CF94" i="1"/>
  <c r="CF95" i="1"/>
  <c r="CF96" i="1"/>
  <c r="CF97" i="1"/>
  <c r="CF98" i="1"/>
  <c r="CF99" i="1"/>
  <c r="CF100" i="1"/>
  <c r="CF101" i="1"/>
  <c r="CF102" i="1"/>
  <c r="CF103" i="1"/>
  <c r="CF104" i="1"/>
  <c r="CF105" i="1"/>
  <c r="CF106" i="1"/>
  <c r="CF107" i="1"/>
  <c r="CF108" i="1"/>
  <c r="CF109" i="1"/>
  <c r="CF110" i="1"/>
  <c r="CF111" i="1"/>
  <c r="CE111" i="1" s="1"/>
  <c r="CF112" i="1"/>
  <c r="CF113" i="1"/>
  <c r="CF114" i="1"/>
  <c r="CF115" i="1"/>
  <c r="CE115" i="1" s="1"/>
  <c r="CF116" i="1"/>
  <c r="CF117" i="1"/>
  <c r="CF118" i="1"/>
  <c r="CF119" i="1"/>
  <c r="CG119" i="1" s="1"/>
  <c r="CF120" i="1"/>
  <c r="CF121" i="1"/>
  <c r="CF122" i="1"/>
  <c r="CF123" i="1"/>
  <c r="CG123" i="1" s="1"/>
  <c r="CF124" i="1"/>
  <c r="CF125" i="1"/>
  <c r="CF126" i="1"/>
  <c r="CF127" i="1"/>
  <c r="CE127" i="1" s="1"/>
  <c r="CF128" i="1"/>
  <c r="CF129" i="1"/>
  <c r="CF130" i="1"/>
  <c r="CF131" i="1"/>
  <c r="CE131" i="1" s="1"/>
  <c r="CF132" i="1"/>
  <c r="CF133" i="1"/>
  <c r="CF134" i="1"/>
  <c r="CF135" i="1"/>
  <c r="CE135" i="1" s="1"/>
  <c r="CF136" i="1"/>
  <c r="CF137" i="1"/>
  <c r="CF138" i="1"/>
  <c r="CF139" i="1"/>
  <c r="CE139" i="1" s="1"/>
  <c r="CF140" i="1"/>
  <c r="CF141" i="1"/>
  <c r="CF142" i="1"/>
  <c r="CF143" i="1"/>
  <c r="CF144" i="1"/>
  <c r="CF145" i="1"/>
  <c r="CF146" i="1"/>
  <c r="CF147" i="1"/>
  <c r="CF148" i="1"/>
  <c r="CF149" i="1"/>
  <c r="CF150" i="1"/>
  <c r="CF151" i="1"/>
  <c r="CE151" i="1" s="1"/>
  <c r="CF152" i="1"/>
  <c r="CF153" i="1"/>
  <c r="CF154" i="1"/>
  <c r="CF155" i="1"/>
  <c r="CE155" i="1" s="1"/>
  <c r="CF156" i="1"/>
  <c r="CF157" i="1"/>
  <c r="CF158" i="1"/>
  <c r="CF159" i="1"/>
  <c r="CF160" i="1"/>
  <c r="CF161" i="1"/>
  <c r="CF162" i="1"/>
  <c r="CF163" i="1"/>
  <c r="CE163" i="1" s="1"/>
  <c r="CF164" i="1"/>
  <c r="CF165" i="1"/>
  <c r="CF166" i="1"/>
  <c r="CF167" i="1"/>
  <c r="CE167" i="1" s="1"/>
  <c r="CF168" i="1"/>
  <c r="CF169" i="1"/>
  <c r="CF170" i="1"/>
  <c r="CF171" i="1"/>
  <c r="CG171" i="1" s="1"/>
  <c r="CF172" i="1"/>
  <c r="CF173" i="1"/>
  <c r="CF174" i="1"/>
  <c r="CF175" i="1"/>
  <c r="CG175" i="1" s="1"/>
  <c r="CF176" i="1"/>
  <c r="CF177" i="1"/>
  <c r="CF178" i="1"/>
  <c r="CF179" i="1"/>
  <c r="CF180" i="1"/>
  <c r="CF181" i="1"/>
  <c r="CF182" i="1"/>
  <c r="CF183" i="1"/>
  <c r="CE183" i="1" s="1"/>
  <c r="CF184" i="1"/>
  <c r="CF185" i="1"/>
  <c r="CF186" i="1"/>
  <c r="CF187" i="1"/>
  <c r="CF188" i="1"/>
  <c r="CF189" i="1"/>
  <c r="CF190" i="1"/>
  <c r="CF191" i="1"/>
  <c r="CE191" i="1" s="1"/>
  <c r="CF192" i="1"/>
  <c r="CF193" i="1"/>
  <c r="CF194" i="1"/>
  <c r="CF195" i="1"/>
  <c r="CF196" i="1"/>
  <c r="CF197" i="1"/>
  <c r="CF198" i="1"/>
  <c r="CF199" i="1"/>
  <c r="CE199" i="1" s="1"/>
  <c r="CF200" i="1"/>
  <c r="CF201" i="1"/>
  <c r="CF202" i="1"/>
  <c r="CF203" i="1"/>
  <c r="CF204" i="1"/>
  <c r="CF205" i="1"/>
  <c r="CF206" i="1"/>
  <c r="CF207" i="1"/>
  <c r="CE207" i="1" s="1"/>
  <c r="CF208" i="1"/>
  <c r="CF209" i="1"/>
  <c r="CF210" i="1"/>
  <c r="CF211" i="1"/>
  <c r="CF212" i="1"/>
  <c r="CF213" i="1"/>
  <c r="CF214" i="1"/>
  <c r="CF215" i="1"/>
  <c r="CE215" i="1" s="1"/>
  <c r="CF216" i="1"/>
  <c r="CF217" i="1"/>
  <c r="CF218" i="1"/>
  <c r="CF219" i="1"/>
  <c r="CF220" i="1"/>
  <c r="CF221" i="1"/>
  <c r="CF222" i="1"/>
  <c r="CF223" i="1"/>
  <c r="CE223" i="1" s="1"/>
  <c r="CF224" i="1"/>
  <c r="CF225" i="1"/>
  <c r="CF226" i="1"/>
  <c r="CF227" i="1"/>
  <c r="CF228" i="1"/>
  <c r="CF229" i="1"/>
  <c r="CF230" i="1"/>
  <c r="CF231" i="1"/>
  <c r="CE231" i="1" s="1"/>
  <c r="CF232" i="1"/>
  <c r="CF233" i="1"/>
  <c r="CF234" i="1"/>
  <c r="CF235" i="1"/>
  <c r="CE235" i="1" s="1"/>
  <c r="CF236" i="1"/>
  <c r="CF237" i="1"/>
  <c r="CF238" i="1"/>
  <c r="CF239" i="1"/>
  <c r="CE239" i="1" s="1"/>
  <c r="CF240" i="1"/>
  <c r="CF241" i="1"/>
  <c r="CF242" i="1"/>
  <c r="CF243" i="1"/>
  <c r="CE243" i="1" s="1"/>
  <c r="CF244" i="1"/>
  <c r="CF245" i="1"/>
  <c r="CF246" i="1"/>
  <c r="CF247" i="1"/>
  <c r="CE247" i="1" s="1"/>
  <c r="CF248" i="1"/>
  <c r="CF249" i="1"/>
  <c r="CF250" i="1"/>
  <c r="CF251" i="1"/>
  <c r="CE251" i="1" s="1"/>
  <c r="CF252" i="1"/>
  <c r="CF253" i="1"/>
  <c r="CF254" i="1"/>
  <c r="CF255" i="1"/>
  <c r="CE255" i="1" s="1"/>
  <c r="CF256" i="1"/>
  <c r="CF257" i="1"/>
  <c r="CF258" i="1"/>
  <c r="CF259" i="1"/>
  <c r="CE259" i="1" s="1"/>
  <c r="CF260" i="1"/>
  <c r="CF261" i="1"/>
  <c r="CF262" i="1"/>
  <c r="CF263" i="1"/>
  <c r="CE263" i="1" s="1"/>
  <c r="CF264" i="1"/>
  <c r="CF265" i="1"/>
  <c r="CF266" i="1"/>
  <c r="CF267" i="1"/>
  <c r="CE267" i="1" s="1"/>
  <c r="CF268" i="1"/>
  <c r="CF269" i="1"/>
  <c r="CF270" i="1"/>
  <c r="CF271" i="1"/>
  <c r="CF6" i="1"/>
  <c r="CA13" i="1"/>
  <c r="CC13" i="1"/>
  <c r="CB13" i="1"/>
  <c r="CA14" i="1"/>
  <c r="CC14" i="1"/>
  <c r="CB14" i="1"/>
  <c r="CA15" i="1"/>
  <c r="CC15" i="1"/>
  <c r="CB15" i="1"/>
  <c r="CA16" i="1"/>
  <c r="CC16" i="1"/>
  <c r="CB16" i="1"/>
  <c r="CA17" i="1"/>
  <c r="CC17" i="1"/>
  <c r="CB17" i="1"/>
  <c r="CA18" i="1"/>
  <c r="CC18" i="1"/>
  <c r="CB18" i="1"/>
  <c r="CA19" i="1"/>
  <c r="CC19" i="1"/>
  <c r="CB19" i="1"/>
  <c r="CA20" i="1"/>
  <c r="CC20" i="1"/>
  <c r="CB20" i="1"/>
  <c r="CA21" i="1"/>
  <c r="CC21" i="1"/>
  <c r="CB21" i="1"/>
  <c r="CA22" i="1"/>
  <c r="CC22" i="1"/>
  <c r="CB22" i="1"/>
  <c r="CA23" i="1"/>
  <c r="CC23" i="1"/>
  <c r="CB23" i="1"/>
  <c r="CA24" i="1"/>
  <c r="CC24" i="1"/>
  <c r="CB24" i="1"/>
  <c r="CA25" i="1"/>
  <c r="CC25" i="1"/>
  <c r="CB25" i="1"/>
  <c r="CA26" i="1"/>
  <c r="CC26" i="1"/>
  <c r="CB26" i="1"/>
  <c r="CA27" i="1"/>
  <c r="CC27" i="1"/>
  <c r="CB27" i="1"/>
  <c r="CA28" i="1"/>
  <c r="CC28" i="1"/>
  <c r="CB28" i="1"/>
  <c r="CA29" i="1"/>
  <c r="CC29" i="1"/>
  <c r="CB29" i="1"/>
  <c r="CA30" i="1"/>
  <c r="CC30" i="1"/>
  <c r="CB30" i="1"/>
  <c r="CA31" i="1"/>
  <c r="CC31" i="1"/>
  <c r="CB31" i="1"/>
  <c r="CA32" i="1"/>
  <c r="CC32" i="1"/>
  <c r="CB32" i="1"/>
  <c r="CA33" i="1"/>
  <c r="CC33" i="1"/>
  <c r="CB33" i="1"/>
  <c r="CA34" i="1"/>
  <c r="CC34" i="1"/>
  <c r="CB34" i="1"/>
  <c r="CA35" i="1"/>
  <c r="CC35" i="1"/>
  <c r="CB35" i="1"/>
  <c r="CA36" i="1"/>
  <c r="CC36" i="1"/>
  <c r="CB36" i="1"/>
  <c r="CA37" i="1"/>
  <c r="CC37" i="1"/>
  <c r="CB37" i="1"/>
  <c r="CA38" i="1"/>
  <c r="CC38" i="1"/>
  <c r="CB38" i="1"/>
  <c r="CA39" i="1"/>
  <c r="CC39" i="1"/>
  <c r="CB39" i="1"/>
  <c r="CA40" i="1"/>
  <c r="CC40" i="1"/>
  <c r="CB40" i="1"/>
  <c r="CA41" i="1"/>
  <c r="CC41" i="1"/>
  <c r="CB41" i="1"/>
  <c r="CA42" i="1"/>
  <c r="CC42" i="1"/>
  <c r="CB42" i="1"/>
  <c r="CA43" i="1"/>
  <c r="CC43" i="1"/>
  <c r="CB43" i="1"/>
  <c r="CA44" i="1"/>
  <c r="CC44" i="1"/>
  <c r="CB44" i="1"/>
  <c r="CA45" i="1"/>
  <c r="CC45" i="1"/>
  <c r="CB45" i="1"/>
  <c r="CA46" i="1"/>
  <c r="CC46" i="1"/>
  <c r="CB46" i="1"/>
  <c r="CA47" i="1"/>
  <c r="CC47" i="1"/>
  <c r="CB47" i="1"/>
  <c r="CA48" i="1"/>
  <c r="CC48" i="1"/>
  <c r="CB48" i="1"/>
  <c r="CA49" i="1"/>
  <c r="CC49" i="1"/>
  <c r="CB49" i="1"/>
  <c r="CA50" i="1"/>
  <c r="CC50" i="1"/>
  <c r="CB50" i="1"/>
  <c r="CA51" i="1"/>
  <c r="CC51" i="1"/>
  <c r="CB51" i="1"/>
  <c r="CA52" i="1"/>
  <c r="CC52" i="1"/>
  <c r="CB52" i="1"/>
  <c r="CA53" i="1"/>
  <c r="CC53" i="1"/>
  <c r="CB53" i="1"/>
  <c r="CA54" i="1"/>
  <c r="CC54" i="1"/>
  <c r="CB54" i="1"/>
  <c r="CA55" i="1"/>
  <c r="CC55" i="1"/>
  <c r="CB55" i="1"/>
  <c r="CA56" i="1"/>
  <c r="CC56" i="1"/>
  <c r="CB56" i="1"/>
  <c r="CA57" i="1"/>
  <c r="CC57" i="1"/>
  <c r="CB57" i="1"/>
  <c r="CA58" i="1"/>
  <c r="CC58" i="1"/>
  <c r="CB58" i="1"/>
  <c r="CA59" i="1"/>
  <c r="CC59" i="1"/>
  <c r="CB59" i="1"/>
  <c r="CA60" i="1"/>
  <c r="CC60" i="1"/>
  <c r="CB60" i="1"/>
  <c r="CA61" i="1"/>
  <c r="CC61" i="1"/>
  <c r="CB61" i="1"/>
  <c r="CA62" i="1"/>
  <c r="CC62" i="1"/>
  <c r="CB62" i="1"/>
  <c r="CA63" i="1"/>
  <c r="CC63" i="1"/>
  <c r="CB63" i="1"/>
  <c r="CA64" i="1"/>
  <c r="CC64" i="1"/>
  <c r="CB64" i="1"/>
  <c r="CA65" i="1"/>
  <c r="CC65" i="1"/>
  <c r="CB65" i="1"/>
  <c r="CA66" i="1"/>
  <c r="CC66" i="1"/>
  <c r="CB66" i="1"/>
  <c r="CA67" i="1"/>
  <c r="CC67" i="1"/>
  <c r="CB67" i="1"/>
  <c r="CA68" i="1"/>
  <c r="CC68" i="1"/>
  <c r="CB68" i="1"/>
  <c r="CA69" i="1"/>
  <c r="CC69" i="1"/>
  <c r="CB69" i="1"/>
  <c r="CA70" i="1"/>
  <c r="CC70" i="1"/>
  <c r="CB70" i="1"/>
  <c r="CA71" i="1"/>
  <c r="CC71" i="1"/>
  <c r="CB71" i="1"/>
  <c r="CA72" i="1"/>
  <c r="CC72" i="1"/>
  <c r="CB72" i="1"/>
  <c r="CA73" i="1"/>
  <c r="CC73" i="1"/>
  <c r="CB73" i="1"/>
  <c r="CA74" i="1"/>
  <c r="CC74" i="1"/>
  <c r="CB74" i="1"/>
  <c r="CA75" i="1"/>
  <c r="CC75" i="1"/>
  <c r="CB75" i="1"/>
  <c r="CA76" i="1"/>
  <c r="CC76" i="1"/>
  <c r="CB76" i="1"/>
  <c r="CA77" i="1"/>
  <c r="CC77" i="1"/>
  <c r="CB77" i="1"/>
  <c r="CA78" i="1"/>
  <c r="CC78" i="1"/>
  <c r="CB78" i="1"/>
  <c r="CA79" i="1"/>
  <c r="CC79" i="1"/>
  <c r="CB79" i="1"/>
  <c r="CA80" i="1"/>
  <c r="CC80" i="1"/>
  <c r="CB80" i="1"/>
  <c r="CA81" i="1"/>
  <c r="CC81" i="1"/>
  <c r="CB81" i="1"/>
  <c r="CA82" i="1"/>
  <c r="CC82" i="1"/>
  <c r="CB82" i="1"/>
  <c r="CA83" i="1"/>
  <c r="CC83" i="1"/>
  <c r="CB83" i="1"/>
  <c r="CA84" i="1"/>
  <c r="CC84" i="1"/>
  <c r="CB84" i="1"/>
  <c r="CA85" i="1"/>
  <c r="CC85" i="1"/>
  <c r="CB85" i="1"/>
  <c r="CA86" i="1"/>
  <c r="CC86" i="1"/>
  <c r="CB86" i="1"/>
  <c r="CA87" i="1"/>
  <c r="CC87" i="1"/>
  <c r="CB87" i="1"/>
  <c r="CA88" i="1"/>
  <c r="CC88" i="1"/>
  <c r="CB88" i="1"/>
  <c r="CA89" i="1"/>
  <c r="CC89" i="1"/>
  <c r="CB89" i="1"/>
  <c r="CA90" i="1"/>
  <c r="CC90" i="1"/>
  <c r="CB90" i="1"/>
  <c r="CA91" i="1"/>
  <c r="CC91" i="1"/>
  <c r="CB91" i="1"/>
  <c r="CA92" i="1"/>
  <c r="CC92" i="1"/>
  <c r="CB92" i="1"/>
  <c r="CA93" i="1"/>
  <c r="CC93" i="1"/>
  <c r="CB93" i="1"/>
  <c r="CA94" i="1"/>
  <c r="CC94" i="1"/>
  <c r="CB94" i="1"/>
  <c r="CA95" i="1"/>
  <c r="CC95" i="1"/>
  <c r="CB95" i="1"/>
  <c r="CA96" i="1"/>
  <c r="CC96" i="1"/>
  <c r="CB96" i="1"/>
  <c r="CA97" i="1"/>
  <c r="CC97" i="1"/>
  <c r="CB97" i="1"/>
  <c r="CA98" i="1"/>
  <c r="CC98" i="1"/>
  <c r="CB98" i="1"/>
  <c r="CA99" i="1"/>
  <c r="CC99" i="1"/>
  <c r="CB99" i="1"/>
  <c r="CA100" i="1"/>
  <c r="CC100" i="1"/>
  <c r="CB100" i="1"/>
  <c r="CA101" i="1"/>
  <c r="CC101" i="1"/>
  <c r="CB101" i="1"/>
  <c r="CA102" i="1"/>
  <c r="CC102" i="1"/>
  <c r="CB102" i="1"/>
  <c r="CA103" i="1"/>
  <c r="CC103" i="1"/>
  <c r="CB103" i="1"/>
  <c r="CA104" i="1"/>
  <c r="CC104" i="1"/>
  <c r="CB104" i="1"/>
  <c r="CA105" i="1"/>
  <c r="CC105" i="1"/>
  <c r="CB105" i="1"/>
  <c r="CA106" i="1"/>
  <c r="CC106" i="1"/>
  <c r="CB106" i="1"/>
  <c r="CA107" i="1"/>
  <c r="CC107" i="1"/>
  <c r="CB107" i="1"/>
  <c r="CA108" i="1"/>
  <c r="CC108" i="1"/>
  <c r="CB108" i="1"/>
  <c r="CA109" i="1"/>
  <c r="CC109" i="1"/>
  <c r="CB109" i="1"/>
  <c r="CA110" i="1"/>
  <c r="CC110" i="1"/>
  <c r="CB110" i="1"/>
  <c r="CA111" i="1"/>
  <c r="CC111" i="1"/>
  <c r="CB111" i="1"/>
  <c r="CA112" i="1"/>
  <c r="CC112" i="1"/>
  <c r="CB112" i="1"/>
  <c r="CA113" i="1"/>
  <c r="CC113" i="1"/>
  <c r="CB113" i="1"/>
  <c r="CA114" i="1"/>
  <c r="CC114" i="1"/>
  <c r="CB114" i="1"/>
  <c r="CA115" i="1"/>
  <c r="CC115" i="1"/>
  <c r="CB115" i="1"/>
  <c r="CA116" i="1"/>
  <c r="CC116" i="1"/>
  <c r="CB116" i="1"/>
  <c r="CA117" i="1"/>
  <c r="CC117" i="1"/>
  <c r="CB117" i="1"/>
  <c r="CA118" i="1"/>
  <c r="CC118" i="1"/>
  <c r="CB118" i="1"/>
  <c r="CA119" i="1"/>
  <c r="CC119" i="1"/>
  <c r="CB119" i="1"/>
  <c r="CA120" i="1"/>
  <c r="CC120" i="1"/>
  <c r="CB120" i="1"/>
  <c r="CA121" i="1"/>
  <c r="CC121" i="1"/>
  <c r="CB121" i="1"/>
  <c r="CA122" i="1"/>
  <c r="CC122" i="1"/>
  <c r="CB122" i="1"/>
  <c r="CA123" i="1"/>
  <c r="CC123" i="1"/>
  <c r="CB123" i="1"/>
  <c r="CA124" i="1"/>
  <c r="CC124" i="1"/>
  <c r="CB124" i="1"/>
  <c r="CA125" i="1"/>
  <c r="CC125" i="1"/>
  <c r="CB125" i="1"/>
  <c r="CA126" i="1"/>
  <c r="CC126" i="1"/>
  <c r="CB126" i="1"/>
  <c r="CA127" i="1"/>
  <c r="CC127" i="1"/>
  <c r="CB127" i="1"/>
  <c r="CA128" i="1"/>
  <c r="CC128" i="1"/>
  <c r="CB128" i="1"/>
  <c r="CA129" i="1"/>
  <c r="CC129" i="1"/>
  <c r="CB129" i="1"/>
  <c r="CA130" i="1"/>
  <c r="CC130" i="1"/>
  <c r="CB130" i="1"/>
  <c r="CA131" i="1"/>
  <c r="CC131" i="1"/>
  <c r="CB131" i="1"/>
  <c r="CA132" i="1"/>
  <c r="CC132" i="1"/>
  <c r="CB132" i="1"/>
  <c r="CA133" i="1"/>
  <c r="CC133" i="1"/>
  <c r="CB133" i="1"/>
  <c r="CA134" i="1"/>
  <c r="CC134" i="1"/>
  <c r="CB134" i="1"/>
  <c r="CA135" i="1"/>
  <c r="CC135" i="1"/>
  <c r="CB135" i="1"/>
  <c r="CA136" i="1"/>
  <c r="CC136" i="1"/>
  <c r="CB136" i="1"/>
  <c r="CA137" i="1"/>
  <c r="CC137" i="1"/>
  <c r="CB137" i="1"/>
  <c r="CA138" i="1"/>
  <c r="CC138" i="1"/>
  <c r="CB138" i="1"/>
  <c r="CA139" i="1"/>
  <c r="CC139" i="1"/>
  <c r="CB139" i="1"/>
  <c r="CA140" i="1"/>
  <c r="CC140" i="1"/>
  <c r="CB140" i="1"/>
  <c r="CA141" i="1"/>
  <c r="CC141" i="1"/>
  <c r="CB141" i="1"/>
  <c r="CA142" i="1"/>
  <c r="CC142" i="1"/>
  <c r="CB142" i="1"/>
  <c r="CA143" i="1"/>
  <c r="CC143" i="1"/>
  <c r="CB143" i="1"/>
  <c r="CA144" i="1"/>
  <c r="CC144" i="1"/>
  <c r="CB144" i="1"/>
  <c r="CA145" i="1"/>
  <c r="CC145" i="1"/>
  <c r="CB145" i="1"/>
  <c r="CA146" i="1"/>
  <c r="CC146" i="1"/>
  <c r="CB146" i="1"/>
  <c r="CA147" i="1"/>
  <c r="CC147" i="1"/>
  <c r="CB147" i="1"/>
  <c r="CA148" i="1"/>
  <c r="CC148" i="1"/>
  <c r="CB148" i="1"/>
  <c r="CA149" i="1"/>
  <c r="CC149" i="1"/>
  <c r="CB149" i="1"/>
  <c r="CA150" i="1"/>
  <c r="CC150" i="1"/>
  <c r="CB150" i="1"/>
  <c r="CA151" i="1"/>
  <c r="CC151" i="1"/>
  <c r="CB151" i="1"/>
  <c r="CA152" i="1"/>
  <c r="CC152" i="1"/>
  <c r="CB152" i="1"/>
  <c r="CA153" i="1"/>
  <c r="CC153" i="1"/>
  <c r="CB153" i="1"/>
  <c r="CA154" i="1"/>
  <c r="CC154" i="1"/>
  <c r="CB154" i="1"/>
  <c r="CA155" i="1"/>
  <c r="CC155" i="1"/>
  <c r="CB155" i="1"/>
  <c r="CA156" i="1"/>
  <c r="CC156" i="1"/>
  <c r="CB156" i="1"/>
  <c r="CA157" i="1"/>
  <c r="CC157" i="1"/>
  <c r="CB157" i="1"/>
  <c r="CA158" i="1"/>
  <c r="CC158" i="1"/>
  <c r="CB158" i="1"/>
  <c r="CA159" i="1"/>
  <c r="CC159" i="1"/>
  <c r="CB159" i="1"/>
  <c r="CA160" i="1"/>
  <c r="CC160" i="1"/>
  <c r="CB160" i="1"/>
  <c r="CA161" i="1"/>
  <c r="CC161" i="1"/>
  <c r="CB161" i="1"/>
  <c r="CA162" i="1"/>
  <c r="CC162" i="1"/>
  <c r="CB162" i="1"/>
  <c r="CA163" i="1"/>
  <c r="CC163" i="1"/>
  <c r="CB163" i="1"/>
  <c r="CA164" i="1"/>
  <c r="CC164" i="1"/>
  <c r="CB164" i="1"/>
  <c r="CA165" i="1"/>
  <c r="CC165" i="1"/>
  <c r="CB165" i="1"/>
  <c r="CA166" i="1"/>
  <c r="CC166" i="1"/>
  <c r="CB166" i="1"/>
  <c r="CA167" i="1"/>
  <c r="CC167" i="1"/>
  <c r="CB167" i="1"/>
  <c r="CA168" i="1"/>
  <c r="CC168" i="1"/>
  <c r="CB168" i="1"/>
  <c r="CA169" i="1"/>
  <c r="CC169" i="1"/>
  <c r="CB169" i="1"/>
  <c r="CA170" i="1"/>
  <c r="CC170" i="1"/>
  <c r="CB170" i="1"/>
  <c r="CA171" i="1"/>
  <c r="CC171" i="1"/>
  <c r="CB171" i="1"/>
  <c r="CA172" i="1"/>
  <c r="CC172" i="1"/>
  <c r="CB172" i="1"/>
  <c r="CA173" i="1"/>
  <c r="CC173" i="1"/>
  <c r="CB173" i="1"/>
  <c r="CA174" i="1"/>
  <c r="CC174" i="1"/>
  <c r="CB174" i="1"/>
  <c r="CA175" i="1"/>
  <c r="CC175" i="1"/>
  <c r="CB175" i="1"/>
  <c r="CA176" i="1"/>
  <c r="CC176" i="1"/>
  <c r="CB176" i="1"/>
  <c r="CA177" i="1"/>
  <c r="CC177" i="1"/>
  <c r="CB177" i="1"/>
  <c r="CA178" i="1"/>
  <c r="CC178" i="1"/>
  <c r="CB178" i="1"/>
  <c r="CA179" i="1"/>
  <c r="CC179" i="1"/>
  <c r="CB179" i="1"/>
  <c r="CA180" i="1"/>
  <c r="CC180" i="1"/>
  <c r="CB180" i="1"/>
  <c r="CA181" i="1"/>
  <c r="CC181" i="1"/>
  <c r="CB181" i="1"/>
  <c r="CA182" i="1"/>
  <c r="CC182" i="1"/>
  <c r="CB182" i="1"/>
  <c r="CA183" i="1"/>
  <c r="CC183" i="1"/>
  <c r="CB183" i="1"/>
  <c r="CA184" i="1"/>
  <c r="CC184" i="1"/>
  <c r="CB184" i="1"/>
  <c r="CA185" i="1"/>
  <c r="CC185" i="1"/>
  <c r="CB185" i="1"/>
  <c r="CA186" i="1"/>
  <c r="CC186" i="1"/>
  <c r="CB186" i="1"/>
  <c r="CA187" i="1"/>
  <c r="CC187" i="1"/>
  <c r="CB187" i="1"/>
  <c r="CA188" i="1"/>
  <c r="CC188" i="1"/>
  <c r="CB188" i="1"/>
  <c r="CA189" i="1"/>
  <c r="CC189" i="1"/>
  <c r="CB189" i="1"/>
  <c r="CA190" i="1"/>
  <c r="CC190" i="1"/>
  <c r="CB190" i="1"/>
  <c r="CA191" i="1"/>
  <c r="CC191" i="1"/>
  <c r="CB191" i="1"/>
  <c r="CA192" i="1"/>
  <c r="CC192" i="1"/>
  <c r="CB192" i="1"/>
  <c r="CA193" i="1"/>
  <c r="CC193" i="1"/>
  <c r="CB193" i="1"/>
  <c r="CA194" i="1"/>
  <c r="CC194" i="1"/>
  <c r="CB194" i="1"/>
  <c r="CA195" i="1"/>
  <c r="CC195" i="1"/>
  <c r="CB195" i="1"/>
  <c r="CA196" i="1"/>
  <c r="CC196" i="1"/>
  <c r="CB196" i="1"/>
  <c r="CA197" i="1"/>
  <c r="CC197" i="1"/>
  <c r="CB197" i="1"/>
  <c r="CA198" i="1"/>
  <c r="CC198" i="1"/>
  <c r="CB198" i="1"/>
  <c r="CA199" i="1"/>
  <c r="CC199" i="1"/>
  <c r="CB199" i="1"/>
  <c r="CA200" i="1"/>
  <c r="CC200" i="1"/>
  <c r="CB200" i="1"/>
  <c r="CA201" i="1"/>
  <c r="CC201" i="1"/>
  <c r="CB201" i="1"/>
  <c r="CA202" i="1"/>
  <c r="CC202" i="1"/>
  <c r="CB202" i="1"/>
  <c r="CA203" i="1"/>
  <c r="CC203" i="1"/>
  <c r="CB203" i="1"/>
  <c r="CA204" i="1"/>
  <c r="CC204" i="1"/>
  <c r="CB204" i="1"/>
  <c r="CA205" i="1"/>
  <c r="CC205" i="1"/>
  <c r="CB205" i="1"/>
  <c r="CA206" i="1"/>
  <c r="CC206" i="1"/>
  <c r="CB206" i="1"/>
  <c r="CA207" i="1"/>
  <c r="CC207" i="1"/>
  <c r="CB207" i="1"/>
  <c r="CA208" i="1"/>
  <c r="CC208" i="1"/>
  <c r="CB208" i="1"/>
  <c r="CA209" i="1"/>
  <c r="CC209" i="1"/>
  <c r="CB209" i="1"/>
  <c r="CA210" i="1"/>
  <c r="CC210" i="1"/>
  <c r="CB210" i="1"/>
  <c r="CA211" i="1"/>
  <c r="CC211" i="1"/>
  <c r="CB211" i="1"/>
  <c r="CA212" i="1"/>
  <c r="CC212" i="1"/>
  <c r="CB212" i="1"/>
  <c r="CA213" i="1"/>
  <c r="CC213" i="1"/>
  <c r="CB213" i="1"/>
  <c r="CA214" i="1"/>
  <c r="CC214" i="1"/>
  <c r="CB214" i="1"/>
  <c r="CA215" i="1"/>
  <c r="CC215" i="1"/>
  <c r="CB215" i="1"/>
  <c r="CA216" i="1"/>
  <c r="CC216" i="1"/>
  <c r="CB216" i="1"/>
  <c r="CA217" i="1"/>
  <c r="CC217" i="1"/>
  <c r="CB217" i="1"/>
  <c r="CA218" i="1"/>
  <c r="CC218" i="1"/>
  <c r="CB218" i="1"/>
  <c r="CA219" i="1"/>
  <c r="CC219" i="1"/>
  <c r="CB219" i="1"/>
  <c r="CA220" i="1"/>
  <c r="CC220" i="1"/>
  <c r="CB220" i="1"/>
  <c r="CA221" i="1"/>
  <c r="CC221" i="1"/>
  <c r="CB221" i="1"/>
  <c r="CA222" i="1"/>
  <c r="CC222" i="1"/>
  <c r="CB222" i="1"/>
  <c r="CA223" i="1"/>
  <c r="CC223" i="1"/>
  <c r="CB223" i="1"/>
  <c r="CA224" i="1"/>
  <c r="CC224" i="1"/>
  <c r="CB224" i="1"/>
  <c r="CA225" i="1"/>
  <c r="CC225" i="1"/>
  <c r="CB225" i="1"/>
  <c r="CA226" i="1"/>
  <c r="CC226" i="1"/>
  <c r="CB226" i="1"/>
  <c r="CA227" i="1"/>
  <c r="CC227" i="1"/>
  <c r="CB227" i="1"/>
  <c r="CA228" i="1"/>
  <c r="CC228" i="1"/>
  <c r="CB228" i="1"/>
  <c r="CA229" i="1"/>
  <c r="CC229" i="1"/>
  <c r="CB229" i="1"/>
  <c r="CA230" i="1"/>
  <c r="CC230" i="1"/>
  <c r="CB230" i="1"/>
  <c r="CA231" i="1"/>
  <c r="CC231" i="1"/>
  <c r="CB231" i="1"/>
  <c r="CA232" i="1"/>
  <c r="CC232" i="1"/>
  <c r="CB232" i="1"/>
  <c r="CA233" i="1"/>
  <c r="CC233" i="1"/>
  <c r="CB233" i="1"/>
  <c r="CA234" i="1"/>
  <c r="CC234" i="1"/>
  <c r="CB234" i="1"/>
  <c r="CA235" i="1"/>
  <c r="CC235" i="1"/>
  <c r="CB235" i="1"/>
  <c r="CA236" i="1"/>
  <c r="CC236" i="1"/>
  <c r="CB236" i="1"/>
  <c r="CA237" i="1"/>
  <c r="CC237" i="1"/>
  <c r="CB237" i="1"/>
  <c r="CA238" i="1"/>
  <c r="CC238" i="1"/>
  <c r="CB238" i="1"/>
  <c r="CA239" i="1"/>
  <c r="CC239" i="1"/>
  <c r="CB239" i="1"/>
  <c r="CA240" i="1"/>
  <c r="CC240" i="1"/>
  <c r="CB240" i="1"/>
  <c r="CA241" i="1"/>
  <c r="CC241" i="1"/>
  <c r="CB241" i="1"/>
  <c r="CA242" i="1"/>
  <c r="CC242" i="1"/>
  <c r="CB242" i="1"/>
  <c r="CA243" i="1"/>
  <c r="CC243" i="1"/>
  <c r="CB243" i="1"/>
  <c r="CA244" i="1"/>
  <c r="CC244" i="1"/>
  <c r="CB244" i="1"/>
  <c r="CA245" i="1"/>
  <c r="CC245" i="1"/>
  <c r="CB245" i="1"/>
  <c r="CA246" i="1"/>
  <c r="CC246" i="1"/>
  <c r="CB246" i="1"/>
  <c r="CA247" i="1"/>
  <c r="CC247" i="1"/>
  <c r="CB247" i="1"/>
  <c r="CA248" i="1"/>
  <c r="CC248" i="1"/>
  <c r="CB248" i="1"/>
  <c r="CA249" i="1"/>
  <c r="CC249" i="1"/>
  <c r="CB249" i="1"/>
  <c r="CA250" i="1"/>
  <c r="CC250" i="1"/>
  <c r="CB250" i="1"/>
  <c r="CA251" i="1"/>
  <c r="CC251" i="1"/>
  <c r="CB251" i="1"/>
  <c r="CA252" i="1"/>
  <c r="CC252" i="1"/>
  <c r="CB252" i="1"/>
  <c r="CA253" i="1"/>
  <c r="CC253" i="1"/>
  <c r="CB253" i="1"/>
  <c r="CA254" i="1"/>
  <c r="CC254" i="1"/>
  <c r="CB254" i="1"/>
  <c r="CA255" i="1"/>
  <c r="CC255" i="1"/>
  <c r="CB255" i="1"/>
  <c r="CA256" i="1"/>
  <c r="CC256" i="1"/>
  <c r="CB256" i="1"/>
  <c r="CA257" i="1"/>
  <c r="CC257" i="1"/>
  <c r="CB257" i="1"/>
  <c r="CA258" i="1"/>
  <c r="CC258" i="1"/>
  <c r="CB258" i="1"/>
  <c r="CA259" i="1"/>
  <c r="CC259" i="1"/>
  <c r="CB259" i="1"/>
  <c r="CA260" i="1"/>
  <c r="CC260" i="1"/>
  <c r="CB260" i="1"/>
  <c r="CA261" i="1"/>
  <c r="CC261" i="1"/>
  <c r="CB261" i="1"/>
  <c r="CA262" i="1"/>
  <c r="CC262" i="1"/>
  <c r="CB262" i="1"/>
  <c r="CA263" i="1"/>
  <c r="CC263" i="1"/>
  <c r="CB263" i="1"/>
  <c r="CA264" i="1"/>
  <c r="CC264" i="1"/>
  <c r="CB264" i="1"/>
  <c r="CA265" i="1"/>
  <c r="CC265" i="1"/>
  <c r="CB265" i="1"/>
  <c r="CA266" i="1"/>
  <c r="CC266" i="1"/>
  <c r="CB266" i="1"/>
  <c r="CA267" i="1"/>
  <c r="CC267" i="1"/>
  <c r="CB267" i="1"/>
  <c r="CA268" i="1"/>
  <c r="CC268" i="1"/>
  <c r="CB268" i="1"/>
  <c r="CA269" i="1"/>
  <c r="CC269" i="1"/>
  <c r="CB269" i="1"/>
  <c r="CA270" i="1"/>
  <c r="CC270" i="1"/>
  <c r="CB270" i="1"/>
  <c r="CA271" i="1"/>
  <c r="CC271" i="1"/>
  <c r="CB271" i="1"/>
  <c r="CA7" i="1"/>
  <c r="CC7" i="1"/>
  <c r="CB7" i="1"/>
  <c r="CA8" i="1"/>
  <c r="CC8" i="1"/>
  <c r="CB8" i="1"/>
  <c r="CA9" i="1"/>
  <c r="CC9" i="1"/>
  <c r="CB9" i="1"/>
  <c r="CA10" i="1"/>
  <c r="CC10" i="1"/>
  <c r="CB10" i="1"/>
  <c r="CA11" i="1"/>
  <c r="CC11" i="1"/>
  <c r="CB11" i="1"/>
  <c r="CA12" i="1"/>
  <c r="CC12" i="1"/>
  <c r="CB12" i="1"/>
  <c r="CB6" i="1"/>
  <c r="CC6" i="1"/>
  <c r="CA6" i="1"/>
  <c r="BY113" i="1"/>
  <c r="BY132" i="1"/>
  <c r="O8" i="4"/>
  <c r="CF278" i="1"/>
  <c r="CE278" i="1"/>
  <c r="BJ180" i="1" a="1"/>
  <c r="BJ180" i="1" s="1"/>
  <c r="BY180" i="1" s="1"/>
  <c r="N8" i="4"/>
  <c r="M8" i="4"/>
  <c r="L8" i="4"/>
  <c r="BW113" i="1"/>
  <c r="BJ3" i="1" a="1"/>
  <c r="BJ3" i="1" s="1"/>
  <c r="BY3" i="1" s="1"/>
  <c r="BL67" i="1" a="1"/>
  <c r="BL67" i="1" s="1"/>
  <c r="BL68" i="1" a="1"/>
  <c r="BL68" i="1" s="1"/>
  <c r="BL69" i="1" a="1"/>
  <c r="BL69" i="1" s="1"/>
  <c r="BL70" i="1" a="1"/>
  <c r="BL70" i="1" s="1"/>
  <c r="BL71" i="1" a="1"/>
  <c r="BL71" i="1" s="1"/>
  <c r="BL72" i="1" a="1"/>
  <c r="BL72" i="1" s="1"/>
  <c r="BL73" i="1" a="1"/>
  <c r="BL73" i="1" s="1"/>
  <c r="BL74" i="1" a="1"/>
  <c r="BL74" i="1" s="1"/>
  <c r="BL75" i="1" a="1"/>
  <c r="BL75" i="1" s="1"/>
  <c r="BL76" i="1" a="1"/>
  <c r="BL76" i="1" s="1"/>
  <c r="BL77" i="1" a="1"/>
  <c r="BL77" i="1" s="1"/>
  <c r="BL78" i="1" a="1"/>
  <c r="BL78" i="1" s="1"/>
  <c r="BL79" i="1" a="1"/>
  <c r="BL79" i="1" s="1"/>
  <c r="BL80" i="1" a="1"/>
  <c r="BL80" i="1" s="1"/>
  <c r="BL81" i="1" a="1"/>
  <c r="BL81" i="1" s="1"/>
  <c r="BL82" i="1" a="1"/>
  <c r="BL82" i="1" s="1"/>
  <c r="BL83" i="1" a="1"/>
  <c r="BL83" i="1" s="1"/>
  <c r="BL84" i="1" a="1"/>
  <c r="BL84" i="1" s="1"/>
  <c r="BL85" i="1" a="1"/>
  <c r="BL85" i="1" s="1"/>
  <c r="BL86" i="1" a="1"/>
  <c r="BL86" i="1" s="1"/>
  <c r="BL87" i="1" a="1"/>
  <c r="BL87" i="1" s="1"/>
  <c r="BL88" i="1" a="1"/>
  <c r="BL88" i="1" s="1"/>
  <c r="BL89" i="1" a="1"/>
  <c r="BL89" i="1" s="1"/>
  <c r="BL90" i="1" a="1"/>
  <c r="BL90" i="1" s="1"/>
  <c r="BL91" i="1" a="1"/>
  <c r="BL91" i="1" s="1"/>
  <c r="BL92" i="1" a="1"/>
  <c r="BL92" i="1" s="1"/>
  <c r="BL93" i="1" a="1"/>
  <c r="BL93" i="1" s="1"/>
  <c r="BL94" i="1" a="1"/>
  <c r="BL94" i="1" s="1"/>
  <c r="BL95" i="1" a="1"/>
  <c r="BL95" i="1" s="1"/>
  <c r="BL96" i="1" a="1"/>
  <c r="BL96" i="1" s="1"/>
  <c r="BL97" i="1" a="1"/>
  <c r="BL97" i="1" s="1"/>
  <c r="BL98" i="1" a="1"/>
  <c r="BL98" i="1" s="1"/>
  <c r="BL99" i="1" a="1"/>
  <c r="BL99" i="1" s="1"/>
  <c r="BL100" i="1" a="1"/>
  <c r="BL100" i="1" s="1"/>
  <c r="BL101" i="1" a="1"/>
  <c r="BL101" i="1" s="1"/>
  <c r="BL102" i="1" a="1"/>
  <c r="BL102" i="1" s="1"/>
  <c r="BL103" i="1" a="1"/>
  <c r="BL103" i="1" s="1"/>
  <c r="BL104" i="1" a="1"/>
  <c r="BL104" i="1" s="1"/>
  <c r="BL105" i="1" a="1"/>
  <c r="BL105" i="1" s="1"/>
  <c r="BL106" i="1" a="1"/>
  <c r="BL106" i="1" s="1"/>
  <c r="BL107" i="1" a="1"/>
  <c r="BL107" i="1" s="1"/>
  <c r="BL108" i="1" a="1"/>
  <c r="BL108" i="1" s="1"/>
  <c r="BL109" i="1" a="1"/>
  <c r="BL109" i="1" s="1"/>
  <c r="BL110" i="1" a="1"/>
  <c r="BL110" i="1" s="1"/>
  <c r="BL111" i="1" a="1"/>
  <c r="BL111" i="1" s="1"/>
  <c r="BL112" i="1" a="1"/>
  <c r="BL112" i="1" s="1"/>
  <c r="BL113" i="1" a="1"/>
  <c r="BL113" i="1" s="1"/>
  <c r="BL114" i="1" a="1"/>
  <c r="BL114" i="1" s="1"/>
  <c r="BL115" i="1" a="1"/>
  <c r="BL115" i="1" s="1"/>
  <c r="BL116" i="1" a="1"/>
  <c r="BL116" i="1" s="1"/>
  <c r="BL117" i="1" a="1"/>
  <c r="BL117" i="1" s="1"/>
  <c r="BL118" i="1" a="1"/>
  <c r="BL118" i="1" s="1"/>
  <c r="BL119" i="1" a="1"/>
  <c r="BL119" i="1" s="1"/>
  <c r="BL120" i="1" a="1"/>
  <c r="BL120" i="1" s="1"/>
  <c r="BL121" i="1" a="1"/>
  <c r="BL121" i="1" s="1"/>
  <c r="BL122" i="1" a="1"/>
  <c r="BL122" i="1" s="1"/>
  <c r="BL123" i="1" a="1"/>
  <c r="BL123" i="1" s="1"/>
  <c r="BL124" i="1" a="1"/>
  <c r="BL124" i="1" s="1"/>
  <c r="BL125" i="1" a="1"/>
  <c r="BL125" i="1" s="1"/>
  <c r="BL126" i="1" a="1"/>
  <c r="BL126" i="1" s="1"/>
  <c r="BL127" i="1" a="1"/>
  <c r="BL127" i="1" s="1"/>
  <c r="BL128" i="1" a="1"/>
  <c r="BL128" i="1" s="1"/>
  <c r="BL129" i="1" a="1"/>
  <c r="BL129" i="1" s="1"/>
  <c r="BL130" i="1" a="1"/>
  <c r="BL130" i="1" s="1"/>
  <c r="BL131" i="1" a="1"/>
  <c r="BL131" i="1" s="1"/>
  <c r="BL132" i="1" a="1"/>
  <c r="BL132" i="1" s="1"/>
  <c r="BL133" i="1" a="1"/>
  <c r="BL133" i="1" s="1"/>
  <c r="BL134" i="1" a="1"/>
  <c r="BL134" i="1" s="1"/>
  <c r="BL135" i="1" a="1"/>
  <c r="BL135" i="1" s="1"/>
  <c r="BL136" i="1" a="1"/>
  <c r="BL136" i="1" s="1"/>
  <c r="BL137" i="1" a="1"/>
  <c r="BL137" i="1" s="1"/>
  <c r="BL138" i="1" a="1"/>
  <c r="BL138" i="1" s="1"/>
  <c r="BL139" i="1" a="1"/>
  <c r="BL139" i="1" s="1"/>
  <c r="BL140" i="1" a="1"/>
  <c r="BL140" i="1" s="1"/>
  <c r="BL141" i="1" a="1"/>
  <c r="BL141" i="1" s="1"/>
  <c r="BL142" i="1" a="1"/>
  <c r="BL142" i="1" s="1"/>
  <c r="BL143" i="1" a="1"/>
  <c r="BL143" i="1" s="1"/>
  <c r="BL144" i="1" a="1"/>
  <c r="BL144" i="1" s="1"/>
  <c r="BL145" i="1" a="1"/>
  <c r="BL145" i="1" s="1"/>
  <c r="BL146" i="1" a="1"/>
  <c r="BL146" i="1" s="1"/>
  <c r="BL147" i="1" a="1"/>
  <c r="BL147" i="1" s="1"/>
  <c r="BL148" i="1" a="1"/>
  <c r="BL148" i="1" s="1"/>
  <c r="BL149" i="1" a="1"/>
  <c r="BL149" i="1" s="1"/>
  <c r="BL150" i="1" a="1"/>
  <c r="BL150" i="1" s="1"/>
  <c r="BL151" i="1" a="1"/>
  <c r="BL151" i="1" s="1"/>
  <c r="BL152" i="1" a="1"/>
  <c r="BL152" i="1" s="1"/>
  <c r="BL153" i="1" a="1"/>
  <c r="BL153" i="1" s="1"/>
  <c r="BL154" i="1" a="1"/>
  <c r="BL154" i="1" s="1"/>
  <c r="BL155" i="1" a="1"/>
  <c r="BL155" i="1" s="1"/>
  <c r="BL156" i="1" a="1"/>
  <c r="BL156" i="1" s="1"/>
  <c r="BL157" i="1" a="1"/>
  <c r="BL157" i="1" s="1"/>
  <c r="BL158" i="1" a="1"/>
  <c r="BL158" i="1" s="1"/>
  <c r="BL159" i="1" a="1"/>
  <c r="BL159" i="1" s="1"/>
  <c r="BL160" i="1" a="1"/>
  <c r="BL160" i="1" s="1"/>
  <c r="BL161" i="1" a="1"/>
  <c r="BL161" i="1" s="1"/>
  <c r="BL162" i="1" a="1"/>
  <c r="BL162" i="1" s="1"/>
  <c r="BL163" i="1" a="1"/>
  <c r="BL163" i="1" s="1"/>
  <c r="BL164" i="1" a="1"/>
  <c r="BL164" i="1" s="1"/>
  <c r="BL165" i="1" a="1"/>
  <c r="BL165" i="1" s="1"/>
  <c r="BL166" i="1" a="1"/>
  <c r="BL166" i="1" s="1"/>
  <c r="BL167" i="1" a="1"/>
  <c r="BL167" i="1" s="1"/>
  <c r="BL168" i="1" a="1"/>
  <c r="BL168" i="1" s="1"/>
  <c r="BL169" i="1" a="1"/>
  <c r="BL169" i="1" s="1"/>
  <c r="BL170" i="1" a="1"/>
  <c r="BL170" i="1" s="1"/>
  <c r="BL171" i="1" a="1"/>
  <c r="BL171" i="1" s="1"/>
  <c r="BL172" i="1" a="1"/>
  <c r="BL172" i="1" s="1"/>
  <c r="BL173" i="1" a="1"/>
  <c r="BL173" i="1" s="1"/>
  <c r="BL174" i="1" a="1"/>
  <c r="BL174" i="1" s="1"/>
  <c r="BL175" i="1" a="1"/>
  <c r="BL175" i="1" s="1"/>
  <c r="BL176" i="1" a="1"/>
  <c r="BL176" i="1" s="1"/>
  <c r="BL177" i="1" a="1"/>
  <c r="BL177" i="1" s="1"/>
  <c r="BL178" i="1" a="1"/>
  <c r="BL178" i="1" s="1"/>
  <c r="BL179" i="1" a="1"/>
  <c r="BL179" i="1" s="1"/>
  <c r="BL180" i="1" a="1"/>
  <c r="BL180" i="1" s="1"/>
  <c r="BL181" i="1" a="1"/>
  <c r="BL181" i="1" s="1"/>
  <c r="BL182" i="1" a="1"/>
  <c r="BL182" i="1" s="1"/>
  <c r="BL183" i="1" a="1"/>
  <c r="BL183" i="1" s="1"/>
  <c r="BL184" i="1" a="1"/>
  <c r="BL184" i="1" s="1"/>
  <c r="BL185" i="1" a="1"/>
  <c r="BL185" i="1" s="1"/>
  <c r="BL186" i="1" a="1"/>
  <c r="BL186" i="1" s="1"/>
  <c r="BL187" i="1" a="1"/>
  <c r="BL187" i="1" s="1"/>
  <c r="BL188" i="1" a="1"/>
  <c r="BL188" i="1" s="1"/>
  <c r="BL189" i="1" a="1"/>
  <c r="BL189" i="1" s="1"/>
  <c r="BL190" i="1" a="1"/>
  <c r="BL190" i="1" s="1"/>
  <c r="BL191" i="1" a="1"/>
  <c r="BL191" i="1" s="1"/>
  <c r="BL192" i="1" a="1"/>
  <c r="BL192" i="1" s="1"/>
  <c r="BL193" i="1" a="1"/>
  <c r="BL193" i="1" s="1"/>
  <c r="BL194" i="1" a="1"/>
  <c r="BL194" i="1" s="1"/>
  <c r="BL195" i="1" a="1"/>
  <c r="BL195" i="1" s="1"/>
  <c r="BL196" i="1" a="1"/>
  <c r="BL196" i="1" s="1"/>
  <c r="BL197" i="1" a="1"/>
  <c r="BL197" i="1" s="1"/>
  <c r="BL198" i="1" a="1"/>
  <c r="BL198" i="1" s="1"/>
  <c r="BL199" i="1" a="1"/>
  <c r="BL199" i="1" s="1"/>
  <c r="BL200" i="1" a="1"/>
  <c r="BL200" i="1" s="1"/>
  <c r="BL201" i="1" a="1"/>
  <c r="BL201" i="1" s="1"/>
  <c r="BL202" i="1" a="1"/>
  <c r="BL202" i="1" s="1"/>
  <c r="BL203" i="1" a="1"/>
  <c r="BL203" i="1" s="1"/>
  <c r="BL204" i="1" a="1"/>
  <c r="BL204" i="1" s="1"/>
  <c r="BL205" i="1" a="1"/>
  <c r="BL205" i="1" s="1"/>
  <c r="BL206" i="1" a="1"/>
  <c r="BL206" i="1" s="1"/>
  <c r="BL207" i="1" a="1"/>
  <c r="BL207" i="1" s="1"/>
  <c r="BL208" i="1" a="1"/>
  <c r="BL208" i="1" s="1"/>
  <c r="BL209" i="1" a="1"/>
  <c r="BL209" i="1" s="1"/>
  <c r="BL210" i="1" a="1"/>
  <c r="BL210" i="1" s="1"/>
  <c r="BL211" i="1" a="1"/>
  <c r="BL211" i="1" s="1"/>
  <c r="BL212" i="1" a="1"/>
  <c r="BL212" i="1" s="1"/>
  <c r="BL213" i="1" a="1"/>
  <c r="BL213" i="1" s="1"/>
  <c r="BL214" i="1" a="1"/>
  <c r="BL214" i="1" s="1"/>
  <c r="BL215" i="1" a="1"/>
  <c r="BL215" i="1" s="1"/>
  <c r="BL216" i="1" a="1"/>
  <c r="BL216" i="1" s="1"/>
  <c r="BL217" i="1" a="1"/>
  <c r="BL217" i="1" s="1"/>
  <c r="BL218" i="1" a="1"/>
  <c r="BL218" i="1" s="1"/>
  <c r="BL219" i="1" a="1"/>
  <c r="BL219" i="1" s="1"/>
  <c r="BL220" i="1" a="1"/>
  <c r="BL220" i="1" s="1"/>
  <c r="BL221" i="1" a="1"/>
  <c r="BL221" i="1" s="1"/>
  <c r="BL222" i="1" a="1"/>
  <c r="BL222" i="1" s="1"/>
  <c r="BL223" i="1" a="1"/>
  <c r="BL223" i="1" s="1"/>
  <c r="BL224" i="1" a="1"/>
  <c r="BL224" i="1" s="1"/>
  <c r="BL225" i="1" a="1"/>
  <c r="BL225" i="1" s="1"/>
  <c r="BL226" i="1" a="1"/>
  <c r="BL226" i="1" s="1"/>
  <c r="BL227" i="1" a="1"/>
  <c r="BL227" i="1" s="1"/>
  <c r="BL228" i="1" a="1"/>
  <c r="BL228" i="1" s="1"/>
  <c r="BL229" i="1" a="1"/>
  <c r="BL229" i="1" s="1"/>
  <c r="BL230" i="1" a="1"/>
  <c r="BL230" i="1" s="1"/>
  <c r="BL231" i="1" a="1"/>
  <c r="BL231" i="1" s="1"/>
  <c r="BL232" i="1" a="1"/>
  <c r="BL232" i="1" s="1"/>
  <c r="BL233" i="1" a="1"/>
  <c r="BL233" i="1" s="1"/>
  <c r="BL234" i="1" a="1"/>
  <c r="BL234" i="1" s="1"/>
  <c r="BL235" i="1" a="1"/>
  <c r="BL235" i="1" s="1"/>
  <c r="BL236" i="1" a="1"/>
  <c r="BL236" i="1" s="1"/>
  <c r="BL237" i="1" a="1"/>
  <c r="BL237" i="1" s="1"/>
  <c r="BL238" i="1" a="1"/>
  <c r="BL238" i="1" s="1"/>
  <c r="BL239" i="1" a="1"/>
  <c r="BL239" i="1" s="1"/>
  <c r="BL240" i="1" a="1"/>
  <c r="BL240" i="1" s="1"/>
  <c r="BL241" i="1" a="1"/>
  <c r="BL241" i="1" s="1"/>
  <c r="BL242" i="1" a="1"/>
  <c r="BL242" i="1" s="1"/>
  <c r="BL243" i="1" a="1"/>
  <c r="BL243" i="1" s="1"/>
  <c r="BL244" i="1" a="1"/>
  <c r="BL244" i="1" s="1"/>
  <c r="BL245" i="1" a="1"/>
  <c r="BL245" i="1" s="1"/>
  <c r="BL246" i="1" a="1"/>
  <c r="BL246" i="1" s="1"/>
  <c r="BL247" i="1" a="1"/>
  <c r="BL247" i="1" s="1"/>
  <c r="BL248" i="1" a="1"/>
  <c r="BL248" i="1" s="1"/>
  <c r="BL249" i="1" a="1"/>
  <c r="BL249" i="1" s="1"/>
  <c r="BL250" i="1" a="1"/>
  <c r="BL250" i="1" s="1"/>
  <c r="BL251" i="1" a="1"/>
  <c r="BL251" i="1" s="1"/>
  <c r="BL252" i="1" a="1"/>
  <c r="BL252" i="1" s="1"/>
  <c r="BL253" i="1" a="1"/>
  <c r="BL253" i="1" s="1"/>
  <c r="BL254" i="1" a="1"/>
  <c r="BL254" i="1" s="1"/>
  <c r="BL255" i="1" a="1"/>
  <c r="BL255" i="1" s="1"/>
  <c r="BL256" i="1" a="1"/>
  <c r="BL256" i="1" s="1"/>
  <c r="BL257" i="1" a="1"/>
  <c r="BL257" i="1" s="1"/>
  <c r="BL258" i="1" a="1"/>
  <c r="BL258" i="1" s="1"/>
  <c r="BL259" i="1" a="1"/>
  <c r="BL259" i="1" s="1"/>
  <c r="BL260" i="1" a="1"/>
  <c r="BL260" i="1" s="1"/>
  <c r="BL261" i="1" a="1"/>
  <c r="BL261" i="1" s="1"/>
  <c r="BL262" i="1" a="1"/>
  <c r="BL262" i="1" s="1"/>
  <c r="BL263" i="1" a="1"/>
  <c r="BL263" i="1" s="1"/>
  <c r="BL264" i="1" a="1"/>
  <c r="BL264" i="1" s="1"/>
  <c r="BL265" i="1" a="1"/>
  <c r="BL265" i="1" s="1"/>
  <c r="BL266" i="1" a="1"/>
  <c r="BL266" i="1" s="1"/>
  <c r="BL267" i="1" a="1"/>
  <c r="BL267" i="1" s="1"/>
  <c r="BL268" i="1" a="1"/>
  <c r="BL268" i="1" s="1"/>
  <c r="BL269" i="1" a="1"/>
  <c r="BL269" i="1" s="1"/>
  <c r="BL270" i="1" a="1"/>
  <c r="BL270" i="1" s="1"/>
  <c r="BL271" i="1" a="1"/>
  <c r="BL271" i="1" s="1"/>
  <c r="BL6" i="1" a="1"/>
  <c r="BL6" i="1" s="1"/>
  <c r="BL7" i="1" a="1"/>
  <c r="BL7" i="1" s="1"/>
  <c r="BL8" i="1" a="1"/>
  <c r="BL8" i="1" s="1"/>
  <c r="BL9" i="1" a="1"/>
  <c r="BL9" i="1" s="1"/>
  <c r="BL10" i="1" a="1"/>
  <c r="BL10" i="1" s="1"/>
  <c r="BL11" i="1" a="1"/>
  <c r="BL11" i="1" s="1"/>
  <c r="BL12" i="1" a="1"/>
  <c r="BL12" i="1" s="1"/>
  <c r="BL13" i="1" a="1"/>
  <c r="BL13" i="1" s="1"/>
  <c r="BL14" i="1" a="1"/>
  <c r="BL14" i="1" s="1"/>
  <c r="BL15" i="1" a="1"/>
  <c r="BL15" i="1" s="1"/>
  <c r="BL16" i="1" a="1"/>
  <c r="BL16" i="1" s="1"/>
  <c r="BL17" i="1" a="1"/>
  <c r="BL17" i="1" s="1"/>
  <c r="BL18" i="1" a="1"/>
  <c r="BL18" i="1" s="1"/>
  <c r="BL19" i="1" a="1"/>
  <c r="BL19" i="1" s="1"/>
  <c r="BL20" i="1" a="1"/>
  <c r="BL20" i="1" s="1"/>
  <c r="BL21" i="1" a="1"/>
  <c r="BL21" i="1" s="1"/>
  <c r="BL22" i="1" a="1"/>
  <c r="BL22" i="1" s="1"/>
  <c r="BL23" i="1" a="1"/>
  <c r="BL23" i="1" s="1"/>
  <c r="BL24" i="1" a="1"/>
  <c r="BL24" i="1" s="1"/>
  <c r="BL25" i="1" a="1"/>
  <c r="BL25" i="1" s="1"/>
  <c r="BL26" i="1" a="1"/>
  <c r="BL26" i="1" s="1"/>
  <c r="BL27" i="1" a="1"/>
  <c r="BL27" i="1" s="1"/>
  <c r="BL28" i="1" a="1"/>
  <c r="BL28" i="1" s="1"/>
  <c r="BL29" i="1" a="1"/>
  <c r="BL29" i="1" s="1"/>
  <c r="BL30" i="1" a="1"/>
  <c r="BL30" i="1" s="1"/>
  <c r="BL31" i="1" a="1"/>
  <c r="BL31" i="1" s="1"/>
  <c r="BL32" i="1" a="1"/>
  <c r="BL32" i="1" s="1"/>
  <c r="BL33" i="1" a="1"/>
  <c r="BL33" i="1" s="1"/>
  <c r="BL34" i="1" a="1"/>
  <c r="BL34" i="1" s="1"/>
  <c r="BL35" i="1" a="1"/>
  <c r="BL35" i="1" s="1"/>
  <c r="BL36" i="1" a="1"/>
  <c r="BL36" i="1" s="1"/>
  <c r="BL37" i="1" a="1"/>
  <c r="BL37" i="1" s="1"/>
  <c r="BL38" i="1" a="1"/>
  <c r="BL38" i="1" s="1"/>
  <c r="BL39" i="1" a="1"/>
  <c r="BL39" i="1" s="1"/>
  <c r="BL40" i="1" a="1"/>
  <c r="BL40" i="1" s="1"/>
  <c r="BL41" i="1" a="1"/>
  <c r="BL41" i="1" s="1"/>
  <c r="BL42" i="1" a="1"/>
  <c r="BL42" i="1" s="1"/>
  <c r="BL43" i="1" a="1"/>
  <c r="BL43" i="1" s="1"/>
  <c r="BL44" i="1" a="1"/>
  <c r="BL44" i="1" s="1"/>
  <c r="BL45" i="1" a="1"/>
  <c r="BL45" i="1" s="1"/>
  <c r="BL46" i="1" a="1"/>
  <c r="BL46" i="1" s="1"/>
  <c r="BL47" i="1" a="1"/>
  <c r="BL47" i="1" s="1"/>
  <c r="BL48" i="1" a="1"/>
  <c r="BL48" i="1" s="1"/>
  <c r="BL49" i="1" a="1"/>
  <c r="BL49" i="1" s="1"/>
  <c r="BL50" i="1" a="1"/>
  <c r="BL50" i="1" s="1"/>
  <c r="BL51" i="1" a="1"/>
  <c r="BL51" i="1" s="1"/>
  <c r="BL52" i="1" a="1"/>
  <c r="BL52" i="1" s="1"/>
  <c r="BL53" i="1" a="1"/>
  <c r="BL53" i="1" s="1"/>
  <c r="BL54" i="1" a="1"/>
  <c r="BL54" i="1" s="1"/>
  <c r="BL55" i="1" a="1"/>
  <c r="BL55" i="1" s="1"/>
  <c r="BL56" i="1" a="1"/>
  <c r="BL56" i="1" s="1"/>
  <c r="BL57" i="1" a="1"/>
  <c r="BL57" i="1" s="1"/>
  <c r="BL58" i="1" a="1"/>
  <c r="BL58" i="1" s="1"/>
  <c r="BL59" i="1" a="1"/>
  <c r="BL59" i="1" s="1"/>
  <c r="BL60" i="1" a="1"/>
  <c r="BL60" i="1" s="1"/>
  <c r="BL61" i="1" a="1"/>
  <c r="BL61" i="1" s="1"/>
  <c r="BL62" i="1" a="1"/>
  <c r="BL62" i="1" s="1"/>
  <c r="BL63" i="1" a="1"/>
  <c r="BL63" i="1" s="1"/>
  <c r="BL64" i="1" a="1"/>
  <c r="BL64" i="1" s="1"/>
  <c r="BL65" i="1" a="1"/>
  <c r="BL65" i="1" s="1"/>
  <c r="J8" i="4"/>
  <c r="K8" i="4"/>
  <c r="BL66" i="1" a="1"/>
  <c r="BL66" i="1" s="1"/>
  <c r="BJ4" i="1" a="1"/>
  <c r="BJ4" i="1" s="1"/>
  <c r="DT2" i="1" s="1"/>
  <c r="BJ186" i="1" a="1"/>
  <c r="BJ186" i="1" s="1"/>
  <c r="BY186" i="1" s="1"/>
  <c r="DK180" i="1" a="1"/>
  <c r="DK180" i="1" s="1"/>
  <c r="BJ6" i="1" a="1"/>
  <c r="BJ6" i="1" s="1"/>
  <c r="BY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J70" i="1" a="1"/>
  <c r="BJ70" i="1" s="1"/>
  <c r="BY70" i="1" s="1"/>
  <c r="BJ2" i="1" a="1"/>
  <c r="BJ2" i="1" s="1"/>
  <c r="BJ209" i="1" a="1"/>
  <c r="BJ209" i="1" s="1"/>
  <c r="BY209" i="1" s="1"/>
  <c r="BJ155" i="1" a="1"/>
  <c r="BJ155" i="1" s="1"/>
  <c r="BY155" i="1" s="1"/>
  <c r="EW90" i="1"/>
  <c r="ES6" i="1"/>
  <c r="EY6" i="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FA6" i="1"/>
  <c r="EY7" i="1"/>
  <c r="EY8" i="1"/>
  <c r="EY9" i="1"/>
  <c r="EY10" i="1"/>
  <c r="EY11" i="1"/>
  <c r="EY12" i="1"/>
  <c r="EY13" i="1"/>
  <c r="EY14" i="1"/>
  <c r="EY15" i="1"/>
  <c r="EY16" i="1"/>
  <c r="EY17" i="1"/>
  <c r="EY18" i="1"/>
  <c r="EY90"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121" i="1"/>
  <c r="EY68" i="1"/>
  <c r="EY69" i="1"/>
  <c r="EY155" i="1"/>
  <c r="EY71" i="1"/>
  <c r="EY72" i="1"/>
  <c r="EY73" i="1"/>
  <c r="EY74" i="1"/>
  <c r="EY75" i="1"/>
  <c r="EY76" i="1"/>
  <c r="EY77" i="1"/>
  <c r="EY78" i="1"/>
  <c r="EY79" i="1"/>
  <c r="EY80" i="1"/>
  <c r="EY81" i="1"/>
  <c r="EY82" i="1"/>
  <c r="EY83" i="1"/>
  <c r="EY84" i="1"/>
  <c r="EY85" i="1"/>
  <c r="EY86" i="1"/>
  <c r="EY87" i="1"/>
  <c r="EY88" i="1"/>
  <c r="EY114" i="1"/>
  <c r="EY186" i="1"/>
  <c r="EY91" i="1"/>
  <c r="EY92" i="1"/>
  <c r="EY93" i="1"/>
  <c r="EY94" i="1"/>
  <c r="EY95" i="1"/>
  <c r="EY96" i="1"/>
  <c r="EY97" i="1"/>
  <c r="EY98" i="1"/>
  <c r="EY99" i="1"/>
  <c r="EY100" i="1"/>
  <c r="EY101" i="1"/>
  <c r="EY102" i="1"/>
  <c r="EY103" i="1"/>
  <c r="EY104" i="1"/>
  <c r="EY105" i="1"/>
  <c r="EY106" i="1"/>
  <c r="EY107" i="1"/>
  <c r="EY108" i="1"/>
  <c r="EY109" i="1"/>
  <c r="EY110" i="1"/>
  <c r="EY111" i="1"/>
  <c r="EY112" i="1"/>
  <c r="EY113" i="1"/>
  <c r="EY153" i="1"/>
  <c r="EY115" i="1"/>
  <c r="EY116" i="1"/>
  <c r="EY117" i="1"/>
  <c r="EY118" i="1"/>
  <c r="EY119" i="1"/>
  <c r="EY67" i="1"/>
  <c r="EY70"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52" i="1"/>
  <c r="EY120" i="1"/>
  <c r="EY154" i="1"/>
  <c r="EY89"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9"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X6" i="1"/>
  <c r="EW7" i="1"/>
  <c r="EW8" i="1"/>
  <c r="EW9" i="1"/>
  <c r="EW10" i="1"/>
  <c r="EW11" i="1"/>
  <c r="EW12" i="1"/>
  <c r="EW13" i="1"/>
  <c r="EW14" i="1"/>
  <c r="EW15" i="1"/>
  <c r="EW16" i="1"/>
  <c r="EW17" i="1"/>
  <c r="EW18" i="1"/>
  <c r="EW20" i="1"/>
  <c r="EW21" i="1"/>
  <c r="EW22" i="1"/>
  <c r="EW23" i="1"/>
  <c r="EW24" i="1"/>
  <c r="EW25" i="1"/>
  <c r="EW26" i="1"/>
  <c r="EW27" i="1"/>
  <c r="EW28" i="1"/>
  <c r="EW29" i="1"/>
  <c r="EW30" i="1"/>
  <c r="EW31" i="1"/>
  <c r="EW32" i="1"/>
  <c r="EW33" i="1"/>
  <c r="EW34" i="1"/>
  <c r="EW35" i="1"/>
  <c r="EW36" i="1"/>
  <c r="EW37" i="1"/>
  <c r="EW38" i="1"/>
  <c r="EW39"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EW65" i="1"/>
  <c r="EW66" i="1"/>
  <c r="EW121" i="1"/>
  <c r="EW68" i="1"/>
  <c r="EW69" i="1"/>
  <c r="EW155" i="1"/>
  <c r="EW71" i="1"/>
  <c r="EW72" i="1"/>
  <c r="EW73" i="1"/>
  <c r="EW74" i="1"/>
  <c r="EW75" i="1"/>
  <c r="EW76" i="1"/>
  <c r="EW77" i="1"/>
  <c r="EW78" i="1"/>
  <c r="EW79" i="1"/>
  <c r="EW80" i="1"/>
  <c r="EW81" i="1"/>
  <c r="EW82" i="1"/>
  <c r="EW83" i="1"/>
  <c r="EW84" i="1"/>
  <c r="EW85" i="1"/>
  <c r="EW86" i="1"/>
  <c r="EW87" i="1"/>
  <c r="EW88" i="1"/>
  <c r="EW114" i="1"/>
  <c r="EW186" i="1"/>
  <c r="EW91" i="1"/>
  <c r="EW92" i="1"/>
  <c r="EW93" i="1"/>
  <c r="EW94" i="1"/>
  <c r="EW95" i="1"/>
  <c r="EW96" i="1"/>
  <c r="EW97" i="1"/>
  <c r="EW98" i="1"/>
  <c r="EW99" i="1"/>
  <c r="EW100" i="1"/>
  <c r="EW101" i="1"/>
  <c r="EW102" i="1"/>
  <c r="EW103" i="1"/>
  <c r="EW104" i="1"/>
  <c r="EW105" i="1"/>
  <c r="EW106" i="1"/>
  <c r="EW107" i="1"/>
  <c r="EW108" i="1"/>
  <c r="EW109" i="1"/>
  <c r="EW110" i="1"/>
  <c r="EW111" i="1"/>
  <c r="EW112" i="1"/>
  <c r="EW113" i="1"/>
  <c r="EW153" i="1"/>
  <c r="EW115" i="1"/>
  <c r="EW116" i="1"/>
  <c r="EW117" i="1"/>
  <c r="EW118" i="1"/>
  <c r="EW119" i="1"/>
  <c r="EW67" i="1"/>
  <c r="EW70" i="1"/>
  <c r="EW122" i="1"/>
  <c r="EW123" i="1"/>
  <c r="EW124" i="1"/>
  <c r="EW125" i="1"/>
  <c r="EW126" i="1"/>
  <c r="EW127" i="1"/>
  <c r="EW128" i="1"/>
  <c r="EW129" i="1"/>
  <c r="EW130" i="1"/>
  <c r="EW131" i="1"/>
  <c r="EW132" i="1"/>
  <c r="EW133" i="1"/>
  <c r="EW134" i="1"/>
  <c r="EW135" i="1"/>
  <c r="EW136" i="1"/>
  <c r="EW137" i="1"/>
  <c r="EW138" i="1"/>
  <c r="EW139" i="1"/>
  <c r="EW140" i="1"/>
  <c r="EW141" i="1"/>
  <c r="EW142" i="1"/>
  <c r="EW143" i="1"/>
  <c r="EW144" i="1"/>
  <c r="EW145" i="1"/>
  <c r="EW146" i="1"/>
  <c r="EW147" i="1"/>
  <c r="EW148" i="1"/>
  <c r="EW149" i="1"/>
  <c r="EW150" i="1"/>
  <c r="EW151" i="1"/>
  <c r="EW152" i="1"/>
  <c r="EW120" i="1"/>
  <c r="EW154" i="1"/>
  <c r="EW89" i="1"/>
  <c r="EW156" i="1"/>
  <c r="EW157" i="1"/>
  <c r="EW158" i="1"/>
  <c r="EW159" i="1"/>
  <c r="EW160" i="1"/>
  <c r="EW161" i="1"/>
  <c r="EW162" i="1"/>
  <c r="EW163" i="1"/>
  <c r="EW164" i="1"/>
  <c r="EW165" i="1"/>
  <c r="EW166" i="1"/>
  <c r="EW167" i="1"/>
  <c r="EW168" i="1"/>
  <c r="EW169" i="1"/>
  <c r="EW170" i="1"/>
  <c r="EW171" i="1"/>
  <c r="EW172" i="1"/>
  <c r="EW173" i="1"/>
  <c r="EW174" i="1"/>
  <c r="EW175" i="1"/>
  <c r="EW176" i="1"/>
  <c r="EW177" i="1"/>
  <c r="EW178" i="1"/>
  <c r="EW179" i="1"/>
  <c r="EW180" i="1"/>
  <c r="EW181" i="1"/>
  <c r="EW182" i="1"/>
  <c r="EW183" i="1"/>
  <c r="EW184" i="1"/>
  <c r="EW185" i="1"/>
  <c r="EW19" i="1"/>
  <c r="EW187" i="1"/>
  <c r="EW188" i="1"/>
  <c r="EW189" i="1"/>
  <c r="EW190" i="1"/>
  <c r="EW191" i="1"/>
  <c r="EW192" i="1"/>
  <c r="EW193" i="1"/>
  <c r="EW194" i="1"/>
  <c r="EW195" i="1"/>
  <c r="EW196" i="1"/>
  <c r="EW197" i="1"/>
  <c r="EW198" i="1"/>
  <c r="EW199" i="1"/>
  <c r="EW200" i="1"/>
  <c r="EW201" i="1"/>
  <c r="EW202" i="1"/>
  <c r="EW203" i="1"/>
  <c r="EW204" i="1"/>
  <c r="EW205" i="1"/>
  <c r="EW206" i="1"/>
  <c r="EW207" i="1"/>
  <c r="EW208" i="1"/>
  <c r="EW209" i="1"/>
  <c r="EW210" i="1"/>
  <c r="EW211" i="1"/>
  <c r="EW212" i="1"/>
  <c r="EW213" i="1"/>
  <c r="EW214" i="1"/>
  <c r="EW215" i="1"/>
  <c r="EW216" i="1"/>
  <c r="EW217" i="1"/>
  <c r="EW218" i="1"/>
  <c r="EW219" i="1"/>
  <c r="EW220" i="1"/>
  <c r="EW221" i="1"/>
  <c r="EW222" i="1"/>
  <c r="EW223" i="1"/>
  <c r="EW224" i="1"/>
  <c r="EW225" i="1"/>
  <c r="EW226" i="1"/>
  <c r="EW227" i="1"/>
  <c r="EW228" i="1"/>
  <c r="EW229" i="1"/>
  <c r="EW230" i="1"/>
  <c r="EW231" i="1"/>
  <c r="EW232" i="1"/>
  <c r="EW233" i="1"/>
  <c r="EW234" i="1"/>
  <c r="EW235" i="1"/>
  <c r="EW236" i="1"/>
  <c r="EW237" i="1"/>
  <c r="EW238" i="1"/>
  <c r="EW239" i="1"/>
  <c r="EW240" i="1"/>
  <c r="EW241" i="1"/>
  <c r="EW242" i="1"/>
  <c r="EW243" i="1"/>
  <c r="EW244" i="1"/>
  <c r="EW245" i="1"/>
  <c r="EW246" i="1"/>
  <c r="EW247" i="1"/>
  <c r="EW248" i="1"/>
  <c r="EW249" i="1"/>
  <c r="EW250" i="1"/>
  <c r="EW251" i="1"/>
  <c r="EW252" i="1"/>
  <c r="EW253" i="1"/>
  <c r="EW254" i="1"/>
  <c r="EW255" i="1"/>
  <c r="EW256" i="1"/>
  <c r="EW257" i="1"/>
  <c r="EW258" i="1"/>
  <c r="EW259" i="1"/>
  <c r="EW260" i="1"/>
  <c r="EW261" i="1"/>
  <c r="EW262" i="1"/>
  <c r="EW263" i="1"/>
  <c r="EW264" i="1"/>
  <c r="EW265" i="1"/>
  <c r="EW266" i="1"/>
  <c r="EW267" i="1"/>
  <c r="EW268" i="1"/>
  <c r="EW269" i="1"/>
  <c r="EW270" i="1"/>
  <c r="EW271" i="1"/>
  <c r="EW6" i="1"/>
  <c r="EX7" i="1"/>
  <c r="EX8" i="1"/>
  <c r="EX9" i="1"/>
  <c r="EX10" i="1"/>
  <c r="EX11" i="1"/>
  <c r="EX12" i="1"/>
  <c r="EX13" i="1"/>
  <c r="EX14" i="1"/>
  <c r="EX15" i="1"/>
  <c r="EX16" i="1"/>
  <c r="EX17" i="1"/>
  <c r="EX18" i="1"/>
  <c r="EX90" i="1"/>
  <c r="EX20" i="1"/>
  <c r="EX21" i="1"/>
  <c r="EX22" i="1"/>
  <c r="EX23" i="1"/>
  <c r="EX24" i="1"/>
  <c r="EX25" i="1"/>
  <c r="EX26" i="1"/>
  <c r="EX27" i="1"/>
  <c r="EX28" i="1"/>
  <c r="EX29" i="1"/>
  <c r="EX30" i="1"/>
  <c r="EX31" i="1"/>
  <c r="EX32" i="1"/>
  <c r="EX33" i="1"/>
  <c r="EX34" i="1"/>
  <c r="EX35" i="1"/>
  <c r="EX36" i="1"/>
  <c r="EX37" i="1"/>
  <c r="EX38" i="1"/>
  <c r="EX39"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X65" i="1"/>
  <c r="EX66" i="1"/>
  <c r="EX121" i="1"/>
  <c r="EX68" i="1"/>
  <c r="EX69" i="1"/>
  <c r="EX155" i="1"/>
  <c r="EX71" i="1"/>
  <c r="EX72" i="1"/>
  <c r="EX73" i="1"/>
  <c r="EX74" i="1"/>
  <c r="EX75" i="1"/>
  <c r="EX76" i="1"/>
  <c r="EX77" i="1"/>
  <c r="EX78" i="1"/>
  <c r="EX79" i="1"/>
  <c r="EX80" i="1"/>
  <c r="EX81" i="1"/>
  <c r="EX82" i="1"/>
  <c r="EX83" i="1"/>
  <c r="EX84" i="1"/>
  <c r="EX85" i="1"/>
  <c r="EX86" i="1"/>
  <c r="EX87" i="1"/>
  <c r="EX88" i="1"/>
  <c r="EX114" i="1"/>
  <c r="EX186" i="1"/>
  <c r="EX91" i="1"/>
  <c r="EX92" i="1"/>
  <c r="EX93" i="1"/>
  <c r="EX94" i="1"/>
  <c r="EX95" i="1"/>
  <c r="EX96" i="1"/>
  <c r="EX97" i="1"/>
  <c r="EX98" i="1"/>
  <c r="EX99" i="1"/>
  <c r="EX100" i="1"/>
  <c r="EX101" i="1"/>
  <c r="EX102" i="1"/>
  <c r="EX103" i="1"/>
  <c r="EX104" i="1"/>
  <c r="EX105" i="1"/>
  <c r="EX106" i="1"/>
  <c r="EX107" i="1"/>
  <c r="EX108" i="1"/>
  <c r="EX109" i="1"/>
  <c r="EX110" i="1"/>
  <c r="EX111" i="1"/>
  <c r="EX112" i="1"/>
  <c r="EX113" i="1"/>
  <c r="EX153" i="1"/>
  <c r="EX115" i="1"/>
  <c r="EX116" i="1"/>
  <c r="EX117" i="1"/>
  <c r="EX118" i="1"/>
  <c r="EX119" i="1"/>
  <c r="EX67" i="1"/>
  <c r="EX70" i="1"/>
  <c r="EX122" i="1"/>
  <c r="EX123" i="1"/>
  <c r="EX124" i="1"/>
  <c r="EX125" i="1"/>
  <c r="EX126" i="1"/>
  <c r="EX127" i="1"/>
  <c r="EX128" i="1"/>
  <c r="EX129" i="1"/>
  <c r="EX130" i="1"/>
  <c r="EX131" i="1"/>
  <c r="EX132" i="1"/>
  <c r="EX133" i="1"/>
  <c r="EX134" i="1"/>
  <c r="EX135" i="1"/>
  <c r="EX136" i="1"/>
  <c r="EX137" i="1"/>
  <c r="EX138" i="1"/>
  <c r="EX139" i="1"/>
  <c r="EX140" i="1"/>
  <c r="EX141" i="1"/>
  <c r="EX142" i="1"/>
  <c r="EX143" i="1"/>
  <c r="EX144" i="1"/>
  <c r="EX145" i="1"/>
  <c r="EX146" i="1"/>
  <c r="EX147" i="1"/>
  <c r="EX148" i="1"/>
  <c r="EX149" i="1"/>
  <c r="EX150" i="1"/>
  <c r="EX151" i="1"/>
  <c r="EX152" i="1"/>
  <c r="EX120" i="1"/>
  <c r="EX154" i="1"/>
  <c r="EX89" i="1"/>
  <c r="EX156" i="1"/>
  <c r="EX157" i="1"/>
  <c r="EX158" i="1"/>
  <c r="EX159" i="1"/>
  <c r="EX160" i="1"/>
  <c r="EX161" i="1"/>
  <c r="EX162" i="1"/>
  <c r="EX163" i="1"/>
  <c r="EX164" i="1"/>
  <c r="EX165" i="1"/>
  <c r="EX166" i="1"/>
  <c r="EX167" i="1"/>
  <c r="EX168" i="1"/>
  <c r="EX169" i="1"/>
  <c r="EX170" i="1"/>
  <c r="EX171" i="1"/>
  <c r="EX172" i="1"/>
  <c r="EX173" i="1"/>
  <c r="EX174" i="1"/>
  <c r="EX175" i="1"/>
  <c r="EX176" i="1"/>
  <c r="EX177" i="1"/>
  <c r="EX178" i="1"/>
  <c r="EX179" i="1"/>
  <c r="EX180" i="1"/>
  <c r="EX181" i="1"/>
  <c r="EX182" i="1"/>
  <c r="EX183" i="1"/>
  <c r="EX184" i="1"/>
  <c r="EX185" i="1"/>
  <c r="EX19" i="1"/>
  <c r="EX187" i="1"/>
  <c r="EX188" i="1"/>
  <c r="EX189" i="1"/>
  <c r="EX190" i="1"/>
  <c r="EX191" i="1"/>
  <c r="EX192" i="1"/>
  <c r="EX193" i="1"/>
  <c r="EX194" i="1"/>
  <c r="EX195" i="1"/>
  <c r="EX196" i="1"/>
  <c r="EX197" i="1"/>
  <c r="EX198" i="1"/>
  <c r="EX199" i="1"/>
  <c r="EX200" i="1"/>
  <c r="EX201" i="1"/>
  <c r="EX202" i="1"/>
  <c r="EX203" i="1"/>
  <c r="EX204" i="1"/>
  <c r="EX205" i="1"/>
  <c r="EX206" i="1"/>
  <c r="EX207" i="1"/>
  <c r="EX208" i="1"/>
  <c r="EX209" i="1"/>
  <c r="EX210" i="1"/>
  <c r="EX211" i="1"/>
  <c r="EX212" i="1"/>
  <c r="EX213" i="1"/>
  <c r="EX214" i="1"/>
  <c r="EX215" i="1"/>
  <c r="EX216" i="1"/>
  <c r="EX217" i="1"/>
  <c r="EX218" i="1"/>
  <c r="EX219" i="1"/>
  <c r="EX220" i="1"/>
  <c r="EX221" i="1"/>
  <c r="EX222" i="1"/>
  <c r="EX223" i="1"/>
  <c r="EX224" i="1"/>
  <c r="EX225" i="1"/>
  <c r="EX226" i="1"/>
  <c r="EX227" i="1"/>
  <c r="EX228" i="1"/>
  <c r="EX229" i="1"/>
  <c r="EX230" i="1"/>
  <c r="EX231" i="1"/>
  <c r="EX232" i="1"/>
  <c r="EX233" i="1"/>
  <c r="EX234" i="1"/>
  <c r="EX235" i="1"/>
  <c r="EX236" i="1"/>
  <c r="EX237" i="1"/>
  <c r="EX238" i="1"/>
  <c r="EX239" i="1"/>
  <c r="EX240" i="1"/>
  <c r="EX241" i="1"/>
  <c r="EX242" i="1"/>
  <c r="EX243" i="1"/>
  <c r="EX244" i="1"/>
  <c r="EX245" i="1"/>
  <c r="EX246" i="1"/>
  <c r="EX247" i="1"/>
  <c r="EX248" i="1"/>
  <c r="EX249" i="1"/>
  <c r="EX250" i="1"/>
  <c r="EX251" i="1"/>
  <c r="EX252" i="1"/>
  <c r="EX253" i="1"/>
  <c r="EX254" i="1"/>
  <c r="EX255" i="1"/>
  <c r="EX256" i="1"/>
  <c r="EX257" i="1"/>
  <c r="EX258" i="1"/>
  <c r="EX259" i="1"/>
  <c r="EX260" i="1"/>
  <c r="EX261" i="1"/>
  <c r="EX262" i="1"/>
  <c r="EX263" i="1"/>
  <c r="EX264" i="1"/>
  <c r="EX265" i="1"/>
  <c r="EX266" i="1"/>
  <c r="EX267" i="1"/>
  <c r="EX268" i="1"/>
  <c r="EX269" i="1"/>
  <c r="EX270" i="1"/>
  <c r="EX271" i="1"/>
  <c r="EQ6" i="1"/>
  <c r="EQ7" i="1"/>
  <c r="ER7" i="1"/>
  <c r="EQ8" i="1"/>
  <c r="ER8" i="1"/>
  <c r="EQ9" i="1"/>
  <c r="ER9" i="1"/>
  <c r="EQ10" i="1"/>
  <c r="ER10" i="1"/>
  <c r="EQ11" i="1"/>
  <c r="ER11" i="1"/>
  <c r="EQ12" i="1"/>
  <c r="ER12" i="1"/>
  <c r="EQ13" i="1"/>
  <c r="ER13" i="1"/>
  <c r="EQ14" i="1"/>
  <c r="ER14" i="1"/>
  <c r="EQ15" i="1"/>
  <c r="ER15" i="1"/>
  <c r="EQ16" i="1"/>
  <c r="ER16" i="1"/>
  <c r="EQ17" i="1"/>
  <c r="ER17" i="1"/>
  <c r="EQ18" i="1"/>
  <c r="ER18" i="1"/>
  <c r="EQ90" i="1"/>
  <c r="ER90" i="1"/>
  <c r="EQ20" i="1"/>
  <c r="ER20" i="1"/>
  <c r="EQ21" i="1"/>
  <c r="ER21" i="1"/>
  <c r="EQ22" i="1"/>
  <c r="ER22" i="1"/>
  <c r="EQ23" i="1"/>
  <c r="ER23" i="1"/>
  <c r="EQ24" i="1"/>
  <c r="ER24" i="1"/>
  <c r="EQ25" i="1"/>
  <c r="ER25" i="1"/>
  <c r="EQ26" i="1"/>
  <c r="ER26" i="1"/>
  <c r="EQ27" i="1"/>
  <c r="ER27" i="1"/>
  <c r="EQ28" i="1"/>
  <c r="ER28" i="1"/>
  <c r="EQ29" i="1"/>
  <c r="ER29" i="1"/>
  <c r="EQ30" i="1"/>
  <c r="ER30" i="1"/>
  <c r="EQ31" i="1"/>
  <c r="ER31" i="1"/>
  <c r="EQ32" i="1"/>
  <c r="ER32" i="1"/>
  <c r="EQ33" i="1"/>
  <c r="ER33" i="1"/>
  <c r="EQ34" i="1"/>
  <c r="ER34" i="1"/>
  <c r="EQ35" i="1"/>
  <c r="ER35" i="1"/>
  <c r="EQ36" i="1"/>
  <c r="ER36" i="1"/>
  <c r="EQ37" i="1"/>
  <c r="ER37" i="1"/>
  <c r="EQ38" i="1"/>
  <c r="ER38" i="1"/>
  <c r="EQ39" i="1"/>
  <c r="ER39" i="1"/>
  <c r="EQ40" i="1"/>
  <c r="ER40" i="1"/>
  <c r="EQ41" i="1"/>
  <c r="ER41" i="1"/>
  <c r="EQ42" i="1"/>
  <c r="ER42" i="1"/>
  <c r="EQ43" i="1"/>
  <c r="ER43" i="1"/>
  <c r="EQ44" i="1"/>
  <c r="ER44" i="1"/>
  <c r="EQ45" i="1"/>
  <c r="ER45" i="1"/>
  <c r="EQ46" i="1"/>
  <c r="ER46" i="1"/>
  <c r="EQ47" i="1"/>
  <c r="ER47" i="1"/>
  <c r="EQ48" i="1"/>
  <c r="ER48" i="1"/>
  <c r="EQ49" i="1"/>
  <c r="ER49" i="1"/>
  <c r="EQ50" i="1"/>
  <c r="ER50" i="1"/>
  <c r="EQ51" i="1"/>
  <c r="ER51" i="1"/>
  <c r="EQ52" i="1"/>
  <c r="ER52" i="1"/>
  <c r="EQ53" i="1"/>
  <c r="ER53" i="1"/>
  <c r="EQ54" i="1"/>
  <c r="ER54" i="1"/>
  <c r="EQ55" i="1"/>
  <c r="ER55" i="1"/>
  <c r="EQ56" i="1"/>
  <c r="ER56" i="1"/>
  <c r="EQ57" i="1"/>
  <c r="ER57" i="1"/>
  <c r="EQ58" i="1"/>
  <c r="ER58" i="1"/>
  <c r="EQ59" i="1"/>
  <c r="ER59" i="1"/>
  <c r="EQ60" i="1"/>
  <c r="ER60" i="1"/>
  <c r="EQ61" i="1"/>
  <c r="ER61" i="1"/>
  <c r="EQ62" i="1"/>
  <c r="ER62" i="1"/>
  <c r="EQ63" i="1"/>
  <c r="ER63" i="1"/>
  <c r="EQ64" i="1"/>
  <c r="ER64" i="1"/>
  <c r="EQ65" i="1"/>
  <c r="ER65" i="1"/>
  <c r="EQ66" i="1"/>
  <c r="ER66" i="1"/>
  <c r="EQ121" i="1"/>
  <c r="ER121" i="1"/>
  <c r="EQ68" i="1"/>
  <c r="ER68" i="1"/>
  <c r="EQ69" i="1"/>
  <c r="ER69" i="1"/>
  <c r="EQ155" i="1"/>
  <c r="ER155" i="1"/>
  <c r="EQ71" i="1"/>
  <c r="ER71" i="1"/>
  <c r="EQ72" i="1"/>
  <c r="ER72" i="1"/>
  <c r="EQ73" i="1"/>
  <c r="ER73" i="1"/>
  <c r="EQ74" i="1"/>
  <c r="ER74" i="1"/>
  <c r="EQ75" i="1"/>
  <c r="ER75" i="1"/>
  <c r="EQ76" i="1"/>
  <c r="ER76" i="1"/>
  <c r="EQ77" i="1"/>
  <c r="ER77" i="1"/>
  <c r="EQ78" i="1"/>
  <c r="ER78" i="1"/>
  <c r="EQ79" i="1"/>
  <c r="ER79" i="1"/>
  <c r="EQ80" i="1"/>
  <c r="ER80" i="1"/>
  <c r="EQ81" i="1"/>
  <c r="ER81" i="1"/>
  <c r="EQ82" i="1"/>
  <c r="ER82" i="1"/>
  <c r="EQ83" i="1"/>
  <c r="ER83" i="1"/>
  <c r="EQ84" i="1"/>
  <c r="ER84" i="1"/>
  <c r="EQ85" i="1"/>
  <c r="ER85" i="1"/>
  <c r="EQ86" i="1"/>
  <c r="ER86" i="1"/>
  <c r="EQ87" i="1"/>
  <c r="ER87" i="1"/>
  <c r="EQ88" i="1"/>
  <c r="ER88" i="1"/>
  <c r="EQ114" i="1"/>
  <c r="ER114" i="1"/>
  <c r="EQ186" i="1"/>
  <c r="ER186" i="1"/>
  <c r="EQ91" i="1"/>
  <c r="ER91" i="1"/>
  <c r="EQ92" i="1"/>
  <c r="ER92" i="1"/>
  <c r="EQ93" i="1"/>
  <c r="ER93" i="1"/>
  <c r="EQ94" i="1"/>
  <c r="ER94" i="1"/>
  <c r="EQ95" i="1"/>
  <c r="ER95" i="1"/>
  <c r="EQ96" i="1"/>
  <c r="ER96" i="1"/>
  <c r="EQ97" i="1"/>
  <c r="ER97" i="1"/>
  <c r="EQ98" i="1"/>
  <c r="ER98" i="1"/>
  <c r="EQ99" i="1"/>
  <c r="ER99" i="1"/>
  <c r="EQ100" i="1"/>
  <c r="ER100" i="1"/>
  <c r="EQ101" i="1"/>
  <c r="ER101" i="1"/>
  <c r="EQ102" i="1"/>
  <c r="ER102" i="1"/>
  <c r="EQ103" i="1"/>
  <c r="ER103" i="1"/>
  <c r="EQ104" i="1"/>
  <c r="ER104" i="1"/>
  <c r="EQ105" i="1"/>
  <c r="ER105" i="1"/>
  <c r="EQ106" i="1"/>
  <c r="ER106" i="1"/>
  <c r="EQ107" i="1"/>
  <c r="ER107" i="1"/>
  <c r="EQ108" i="1"/>
  <c r="ER108" i="1"/>
  <c r="EQ109" i="1"/>
  <c r="ER109" i="1"/>
  <c r="EQ110" i="1"/>
  <c r="ER110" i="1"/>
  <c r="EQ111" i="1"/>
  <c r="ER111" i="1"/>
  <c r="EQ112" i="1"/>
  <c r="ER112" i="1"/>
  <c r="EQ113" i="1"/>
  <c r="ER113" i="1"/>
  <c r="EQ153" i="1"/>
  <c r="ER153" i="1"/>
  <c r="EQ115" i="1"/>
  <c r="ER115" i="1"/>
  <c r="EQ116" i="1"/>
  <c r="ER116" i="1"/>
  <c r="EQ117" i="1"/>
  <c r="ER117" i="1"/>
  <c r="EQ118" i="1"/>
  <c r="ER118" i="1"/>
  <c r="EQ119" i="1"/>
  <c r="ER119" i="1"/>
  <c r="EQ67" i="1"/>
  <c r="ER67" i="1"/>
  <c r="EQ70" i="1"/>
  <c r="ER70" i="1"/>
  <c r="EQ122" i="1"/>
  <c r="ER122" i="1"/>
  <c r="EQ123" i="1"/>
  <c r="ER123" i="1"/>
  <c r="EQ124" i="1"/>
  <c r="ER124" i="1"/>
  <c r="EQ125" i="1"/>
  <c r="ER125" i="1"/>
  <c r="EQ126" i="1"/>
  <c r="ER126" i="1"/>
  <c r="EQ127" i="1"/>
  <c r="ER127" i="1"/>
  <c r="EQ128" i="1"/>
  <c r="ER128" i="1"/>
  <c r="EQ129" i="1"/>
  <c r="ER129" i="1"/>
  <c r="EQ130" i="1"/>
  <c r="ER130" i="1"/>
  <c r="EQ131" i="1"/>
  <c r="ER131" i="1"/>
  <c r="EQ132" i="1"/>
  <c r="ER132" i="1"/>
  <c r="EQ133" i="1"/>
  <c r="ER133" i="1"/>
  <c r="EQ134" i="1"/>
  <c r="ER134" i="1"/>
  <c r="EQ135" i="1"/>
  <c r="ER135" i="1"/>
  <c r="EQ136" i="1"/>
  <c r="ER136" i="1"/>
  <c r="EQ137" i="1"/>
  <c r="ER137" i="1"/>
  <c r="EQ138" i="1"/>
  <c r="ER138" i="1"/>
  <c r="EQ139" i="1"/>
  <c r="ER139" i="1"/>
  <c r="EQ140" i="1"/>
  <c r="ER140" i="1"/>
  <c r="EQ141" i="1"/>
  <c r="ER141" i="1"/>
  <c r="EQ142" i="1"/>
  <c r="ER142" i="1"/>
  <c r="EQ143" i="1"/>
  <c r="ER143" i="1"/>
  <c r="EQ144" i="1"/>
  <c r="ER144" i="1"/>
  <c r="EQ145" i="1"/>
  <c r="ER145" i="1"/>
  <c r="EQ146" i="1"/>
  <c r="ER146" i="1"/>
  <c r="EQ147" i="1"/>
  <c r="ER147" i="1"/>
  <c r="EQ148" i="1"/>
  <c r="ER148" i="1"/>
  <c r="EQ149" i="1"/>
  <c r="ER149" i="1"/>
  <c r="EQ150" i="1"/>
  <c r="ER150" i="1"/>
  <c r="EQ151" i="1"/>
  <c r="ER151" i="1"/>
  <c r="EQ152" i="1"/>
  <c r="ER152" i="1"/>
  <c r="EQ120" i="1"/>
  <c r="ER120" i="1"/>
  <c r="EQ154" i="1"/>
  <c r="ER154" i="1"/>
  <c r="EQ89" i="1"/>
  <c r="ER89" i="1"/>
  <c r="EQ156" i="1"/>
  <c r="ER156" i="1"/>
  <c r="EQ157" i="1"/>
  <c r="ER157" i="1"/>
  <c r="EQ158" i="1"/>
  <c r="ER158" i="1"/>
  <c r="EQ159" i="1"/>
  <c r="ER159" i="1"/>
  <c r="EQ160" i="1"/>
  <c r="ER160" i="1"/>
  <c r="EQ161" i="1"/>
  <c r="ER161" i="1"/>
  <c r="EQ162" i="1"/>
  <c r="ER162" i="1"/>
  <c r="EQ163" i="1"/>
  <c r="ER163" i="1"/>
  <c r="EQ164" i="1"/>
  <c r="ER164" i="1"/>
  <c r="EQ165" i="1"/>
  <c r="ER165" i="1"/>
  <c r="EQ166" i="1"/>
  <c r="ER166" i="1"/>
  <c r="EQ167" i="1"/>
  <c r="ER167" i="1"/>
  <c r="EQ168" i="1"/>
  <c r="ER168" i="1"/>
  <c r="EQ169" i="1"/>
  <c r="ER169" i="1"/>
  <c r="EQ170" i="1"/>
  <c r="ER170" i="1"/>
  <c r="EQ171" i="1"/>
  <c r="ER171" i="1"/>
  <c r="EQ172" i="1"/>
  <c r="ER172" i="1"/>
  <c r="EQ173" i="1"/>
  <c r="ER173" i="1"/>
  <c r="EQ174" i="1"/>
  <c r="ER174" i="1"/>
  <c r="EQ175" i="1"/>
  <c r="ER175" i="1"/>
  <c r="EQ176" i="1"/>
  <c r="ER176" i="1"/>
  <c r="EQ177" i="1"/>
  <c r="ER177" i="1"/>
  <c r="EQ178" i="1"/>
  <c r="ER178" i="1"/>
  <c r="EQ179" i="1"/>
  <c r="ER179" i="1"/>
  <c r="EQ180" i="1"/>
  <c r="ER180" i="1"/>
  <c r="EQ181" i="1"/>
  <c r="ER181" i="1"/>
  <c r="EQ182" i="1"/>
  <c r="ER182" i="1"/>
  <c r="EQ183" i="1"/>
  <c r="ER183" i="1"/>
  <c r="EQ184" i="1"/>
  <c r="ER184" i="1"/>
  <c r="EQ185" i="1"/>
  <c r="ER185" i="1"/>
  <c r="EQ19" i="1"/>
  <c r="ER19" i="1"/>
  <c r="EQ187" i="1"/>
  <c r="ER187" i="1"/>
  <c r="EQ188" i="1"/>
  <c r="ER188" i="1"/>
  <c r="EQ189" i="1"/>
  <c r="ER189" i="1"/>
  <c r="EQ190" i="1"/>
  <c r="ER190" i="1"/>
  <c r="EQ191" i="1"/>
  <c r="ER191" i="1"/>
  <c r="EQ192" i="1"/>
  <c r="ER192" i="1"/>
  <c r="EQ193" i="1"/>
  <c r="ER193" i="1"/>
  <c r="EQ194" i="1"/>
  <c r="ER194" i="1"/>
  <c r="EQ195" i="1"/>
  <c r="ER195" i="1"/>
  <c r="EQ196" i="1"/>
  <c r="ER196" i="1"/>
  <c r="EQ197" i="1"/>
  <c r="ER197" i="1"/>
  <c r="EQ198" i="1"/>
  <c r="ER198" i="1"/>
  <c r="EQ199" i="1"/>
  <c r="ER199" i="1"/>
  <c r="EQ200" i="1"/>
  <c r="ER200" i="1"/>
  <c r="EQ201" i="1"/>
  <c r="ER201" i="1"/>
  <c r="EQ202" i="1"/>
  <c r="ER202" i="1"/>
  <c r="EQ203" i="1"/>
  <c r="ER203" i="1"/>
  <c r="EQ204" i="1"/>
  <c r="ER204" i="1"/>
  <c r="EQ205" i="1"/>
  <c r="ER205" i="1"/>
  <c r="EQ206" i="1"/>
  <c r="ER206" i="1"/>
  <c r="EQ207" i="1"/>
  <c r="ER207" i="1"/>
  <c r="EQ208" i="1"/>
  <c r="ER208" i="1"/>
  <c r="EQ209" i="1"/>
  <c r="ER209" i="1"/>
  <c r="EQ210" i="1"/>
  <c r="ER210" i="1"/>
  <c r="EQ211" i="1"/>
  <c r="ER211" i="1"/>
  <c r="EQ212" i="1"/>
  <c r="ER212" i="1"/>
  <c r="EQ213" i="1"/>
  <c r="ER213" i="1"/>
  <c r="EQ214" i="1"/>
  <c r="ER214" i="1"/>
  <c r="EQ215" i="1"/>
  <c r="ER215" i="1"/>
  <c r="EQ216" i="1"/>
  <c r="ER216" i="1"/>
  <c r="EQ217" i="1"/>
  <c r="ER217" i="1"/>
  <c r="EQ218" i="1"/>
  <c r="ER218" i="1"/>
  <c r="EQ219" i="1"/>
  <c r="ER219" i="1"/>
  <c r="EQ220" i="1"/>
  <c r="ER220" i="1"/>
  <c r="EQ221" i="1"/>
  <c r="ER221" i="1"/>
  <c r="EQ222" i="1"/>
  <c r="ER222" i="1"/>
  <c r="EQ223" i="1"/>
  <c r="ER223" i="1"/>
  <c r="EQ224" i="1"/>
  <c r="ER224" i="1"/>
  <c r="EQ225" i="1"/>
  <c r="ER225" i="1"/>
  <c r="EQ226" i="1"/>
  <c r="ER226" i="1"/>
  <c r="EQ227" i="1"/>
  <c r="ER227" i="1"/>
  <c r="EQ228" i="1"/>
  <c r="ER228" i="1"/>
  <c r="EQ229" i="1"/>
  <c r="ER229" i="1"/>
  <c r="EQ230" i="1"/>
  <c r="ER230" i="1"/>
  <c r="EQ231" i="1"/>
  <c r="ER231" i="1"/>
  <c r="EQ232" i="1"/>
  <c r="ER232" i="1"/>
  <c r="EQ233" i="1"/>
  <c r="ER233" i="1"/>
  <c r="EQ234" i="1"/>
  <c r="ER234" i="1"/>
  <c r="EQ235" i="1"/>
  <c r="ER235" i="1"/>
  <c r="EQ236" i="1"/>
  <c r="ER236" i="1"/>
  <c r="EQ237" i="1"/>
  <c r="ER237" i="1"/>
  <c r="EQ238" i="1"/>
  <c r="ER238" i="1"/>
  <c r="EQ239" i="1"/>
  <c r="ER239" i="1"/>
  <c r="EQ240" i="1"/>
  <c r="ER240" i="1"/>
  <c r="EQ241" i="1"/>
  <c r="ER241" i="1"/>
  <c r="EQ242" i="1"/>
  <c r="ER242" i="1"/>
  <c r="EQ243" i="1"/>
  <c r="ER243" i="1"/>
  <c r="EQ244" i="1"/>
  <c r="ER244" i="1"/>
  <c r="EQ245" i="1"/>
  <c r="ER245" i="1"/>
  <c r="EQ246" i="1"/>
  <c r="ER246" i="1"/>
  <c r="EQ247" i="1"/>
  <c r="ER247" i="1"/>
  <c r="EQ248" i="1"/>
  <c r="ER248" i="1"/>
  <c r="EQ249" i="1"/>
  <c r="ER249" i="1"/>
  <c r="EQ250" i="1"/>
  <c r="ER250" i="1"/>
  <c r="EQ251" i="1"/>
  <c r="ER251" i="1"/>
  <c r="EQ252" i="1"/>
  <c r="ER252" i="1"/>
  <c r="EQ253" i="1"/>
  <c r="ER253" i="1"/>
  <c r="EQ254" i="1"/>
  <c r="ER254" i="1"/>
  <c r="EQ255" i="1"/>
  <c r="ER255" i="1"/>
  <c r="EQ256" i="1"/>
  <c r="ER256" i="1"/>
  <c r="EQ257" i="1"/>
  <c r="ER257" i="1"/>
  <c r="EQ258" i="1"/>
  <c r="ER258" i="1"/>
  <c r="EQ259" i="1"/>
  <c r="ER259" i="1"/>
  <c r="EQ260" i="1"/>
  <c r="ER260" i="1"/>
  <c r="EQ261" i="1"/>
  <c r="ER261" i="1"/>
  <c r="EQ262" i="1"/>
  <c r="ER262" i="1"/>
  <c r="EQ263" i="1"/>
  <c r="ER263" i="1"/>
  <c r="EQ264" i="1"/>
  <c r="ER264" i="1"/>
  <c r="EQ265" i="1"/>
  <c r="ER265" i="1"/>
  <c r="EQ266" i="1"/>
  <c r="ER266" i="1"/>
  <c r="EQ267" i="1"/>
  <c r="ER267" i="1"/>
  <c r="EQ268" i="1"/>
  <c r="ER268" i="1"/>
  <c r="EQ269" i="1"/>
  <c r="ER269" i="1"/>
  <c r="EQ270" i="1"/>
  <c r="ER270" i="1"/>
  <c r="EQ271" i="1"/>
  <c r="ER271" i="1"/>
  <c r="ER6" i="1"/>
  <c r="FC6" i="1"/>
  <c r="EK6" i="1"/>
  <c r="ET6" i="1" s="1"/>
  <c r="EK7" i="1"/>
  <c r="ET7" i="1" s="1"/>
  <c r="EK8" i="1"/>
  <c r="ET8" i="1" s="1"/>
  <c r="EK9" i="1"/>
  <c r="ET9" i="1" s="1"/>
  <c r="EK10" i="1"/>
  <c r="ET10" i="1" s="1"/>
  <c r="EK11" i="1"/>
  <c r="ET11" i="1" s="1"/>
  <c r="EK12" i="1"/>
  <c r="ET12" i="1" s="1"/>
  <c r="EK13" i="1"/>
  <c r="ET13" i="1" s="1"/>
  <c r="EK14" i="1"/>
  <c r="ET14" i="1" s="1"/>
  <c r="EK15" i="1"/>
  <c r="ET15" i="1" s="1"/>
  <c r="EK16" i="1"/>
  <c r="ET16" i="1" s="1"/>
  <c r="EK17" i="1"/>
  <c r="ET17" i="1" s="1"/>
  <c r="EK18" i="1"/>
  <c r="ET18" i="1" s="1"/>
  <c r="EK90" i="1"/>
  <c r="ET90" i="1" s="1"/>
  <c r="EK20" i="1"/>
  <c r="ET20" i="1" s="1"/>
  <c r="EK21" i="1"/>
  <c r="ET21" i="1" s="1"/>
  <c r="EK22" i="1"/>
  <c r="ET22" i="1" s="1"/>
  <c r="EK23" i="1"/>
  <c r="ET23" i="1" s="1"/>
  <c r="EK24" i="1"/>
  <c r="ET24" i="1" s="1"/>
  <c r="EK25" i="1"/>
  <c r="ET25" i="1" s="1"/>
  <c r="EK26" i="1"/>
  <c r="ET26" i="1" s="1"/>
  <c r="EK27" i="1"/>
  <c r="ET27" i="1" s="1"/>
  <c r="EK28" i="1"/>
  <c r="ET28" i="1" s="1"/>
  <c r="EK29" i="1"/>
  <c r="ET29" i="1" s="1"/>
  <c r="EK30" i="1"/>
  <c r="ET30" i="1" s="1"/>
  <c r="EK31" i="1"/>
  <c r="ET31" i="1" s="1"/>
  <c r="EK32" i="1"/>
  <c r="ET32" i="1" s="1"/>
  <c r="EK33" i="1"/>
  <c r="ET33" i="1" s="1"/>
  <c r="EK34" i="1"/>
  <c r="ET34" i="1" s="1"/>
  <c r="EK35" i="1"/>
  <c r="ET35" i="1" s="1"/>
  <c r="EK36" i="1"/>
  <c r="ET36" i="1" s="1"/>
  <c r="EK37" i="1"/>
  <c r="ET37" i="1" s="1"/>
  <c r="EK38" i="1"/>
  <c r="ET38" i="1" s="1"/>
  <c r="EK39" i="1"/>
  <c r="ET39" i="1" s="1"/>
  <c r="EK40" i="1"/>
  <c r="ET40" i="1" s="1"/>
  <c r="EK41" i="1"/>
  <c r="ET41" i="1" s="1"/>
  <c r="EK42" i="1"/>
  <c r="ET42" i="1" s="1"/>
  <c r="EK43" i="1"/>
  <c r="ET43" i="1" s="1"/>
  <c r="EK44" i="1"/>
  <c r="ET44" i="1" s="1"/>
  <c r="EK45" i="1"/>
  <c r="ET45" i="1" s="1"/>
  <c r="EK46" i="1"/>
  <c r="ET46" i="1" s="1"/>
  <c r="EK47" i="1"/>
  <c r="ET47" i="1" s="1"/>
  <c r="EK48" i="1"/>
  <c r="ET48" i="1" s="1"/>
  <c r="EK49" i="1"/>
  <c r="ET49" i="1" s="1"/>
  <c r="EK50" i="1"/>
  <c r="ET50" i="1" s="1"/>
  <c r="EK51" i="1"/>
  <c r="ET51" i="1" s="1"/>
  <c r="EK52" i="1"/>
  <c r="ET52" i="1" s="1"/>
  <c r="EK53" i="1"/>
  <c r="ET53" i="1" s="1"/>
  <c r="EK54" i="1"/>
  <c r="ET54" i="1" s="1"/>
  <c r="EK55" i="1"/>
  <c r="ET55" i="1" s="1"/>
  <c r="EK56" i="1"/>
  <c r="ET56" i="1" s="1"/>
  <c r="EK57" i="1"/>
  <c r="ET57" i="1" s="1"/>
  <c r="EK58" i="1"/>
  <c r="ET58" i="1" s="1"/>
  <c r="EK59" i="1"/>
  <c r="ET59" i="1" s="1"/>
  <c r="EK60" i="1"/>
  <c r="ET60" i="1" s="1"/>
  <c r="EK61" i="1"/>
  <c r="ET61" i="1" s="1"/>
  <c r="EK62" i="1"/>
  <c r="ET62" i="1" s="1"/>
  <c r="EK63" i="1"/>
  <c r="ET63" i="1" s="1"/>
  <c r="EK64" i="1"/>
  <c r="ET64" i="1" s="1"/>
  <c r="EK65" i="1"/>
  <c r="ET65" i="1" s="1"/>
  <c r="EK66" i="1"/>
  <c r="ET66" i="1" s="1"/>
  <c r="EK121" i="1"/>
  <c r="ET121" i="1" s="1"/>
  <c r="EK68" i="1"/>
  <c r="ET68" i="1" s="1"/>
  <c r="EK69" i="1"/>
  <c r="ET69" i="1" s="1"/>
  <c r="EK155" i="1"/>
  <c r="ET155" i="1" s="1"/>
  <c r="EK71" i="1"/>
  <c r="ET71" i="1" s="1"/>
  <c r="EK72" i="1"/>
  <c r="ET72" i="1" s="1"/>
  <c r="EK73" i="1"/>
  <c r="ET73" i="1" s="1"/>
  <c r="EK74" i="1"/>
  <c r="ET74" i="1" s="1"/>
  <c r="EK75" i="1"/>
  <c r="ET75" i="1" s="1"/>
  <c r="EK76" i="1"/>
  <c r="ET76" i="1" s="1"/>
  <c r="EK77" i="1"/>
  <c r="ET77" i="1" s="1"/>
  <c r="EK78" i="1"/>
  <c r="ET78" i="1" s="1"/>
  <c r="EK79" i="1"/>
  <c r="ET79" i="1" s="1"/>
  <c r="EK80" i="1"/>
  <c r="ET80" i="1" s="1"/>
  <c r="EK81" i="1"/>
  <c r="ET81" i="1" s="1"/>
  <c r="EK82" i="1"/>
  <c r="ET82" i="1" s="1"/>
  <c r="EK83" i="1"/>
  <c r="ET83" i="1" s="1"/>
  <c r="EK84" i="1"/>
  <c r="ET84" i="1" s="1"/>
  <c r="EK85" i="1"/>
  <c r="ET85" i="1" s="1"/>
  <c r="EK86" i="1"/>
  <c r="ET86" i="1" s="1"/>
  <c r="EK87" i="1"/>
  <c r="ET87" i="1" s="1"/>
  <c r="EK88" i="1"/>
  <c r="ET88" i="1" s="1"/>
  <c r="EK114" i="1"/>
  <c r="ET114" i="1" s="1"/>
  <c r="EK186" i="1"/>
  <c r="ET186" i="1" s="1"/>
  <c r="EK91" i="1"/>
  <c r="ET91" i="1" s="1"/>
  <c r="EK92" i="1"/>
  <c r="ET92" i="1" s="1"/>
  <c r="EK93" i="1"/>
  <c r="ET93" i="1" s="1"/>
  <c r="EK94" i="1"/>
  <c r="ET94" i="1" s="1"/>
  <c r="EK95" i="1"/>
  <c r="ET95" i="1" s="1"/>
  <c r="EK96" i="1"/>
  <c r="ET96" i="1" s="1"/>
  <c r="EK97" i="1"/>
  <c r="ET97" i="1" s="1"/>
  <c r="EK98" i="1"/>
  <c r="ET98" i="1" s="1"/>
  <c r="EK99" i="1"/>
  <c r="ET99" i="1" s="1"/>
  <c r="EK100" i="1"/>
  <c r="ET100" i="1" s="1"/>
  <c r="EK101" i="1"/>
  <c r="ET101" i="1" s="1"/>
  <c r="EK102" i="1"/>
  <c r="ET102" i="1" s="1"/>
  <c r="EK103" i="1"/>
  <c r="ET103" i="1" s="1"/>
  <c r="EK104" i="1"/>
  <c r="ET104" i="1" s="1"/>
  <c r="EK105" i="1"/>
  <c r="ET105" i="1" s="1"/>
  <c r="EK106" i="1"/>
  <c r="ET106" i="1" s="1"/>
  <c r="EK107" i="1"/>
  <c r="ET107" i="1" s="1"/>
  <c r="EK108" i="1"/>
  <c r="ET108" i="1" s="1"/>
  <c r="EK109" i="1"/>
  <c r="ET109" i="1" s="1"/>
  <c r="EK110" i="1"/>
  <c r="ET110" i="1" s="1"/>
  <c r="EK111" i="1"/>
  <c r="ET111" i="1" s="1"/>
  <c r="EK112" i="1"/>
  <c r="ET112" i="1" s="1"/>
  <c r="EK113" i="1"/>
  <c r="ET113" i="1" s="1"/>
  <c r="EK153" i="1"/>
  <c r="ET153" i="1" s="1"/>
  <c r="EK115" i="1"/>
  <c r="ET115" i="1" s="1"/>
  <c r="EK116" i="1"/>
  <c r="ET116" i="1" s="1"/>
  <c r="EK117" i="1"/>
  <c r="ET117" i="1" s="1"/>
  <c r="EK118" i="1"/>
  <c r="ET118" i="1" s="1"/>
  <c r="EK119" i="1"/>
  <c r="ET119" i="1" s="1"/>
  <c r="EK67" i="1"/>
  <c r="ET67" i="1" s="1"/>
  <c r="EK70" i="1"/>
  <c r="ET70" i="1" s="1"/>
  <c r="EK122" i="1"/>
  <c r="ET122" i="1" s="1"/>
  <c r="EK123" i="1"/>
  <c r="ET123" i="1" s="1"/>
  <c r="EK124" i="1"/>
  <c r="ET124" i="1" s="1"/>
  <c r="EK125" i="1"/>
  <c r="ET125" i="1" s="1"/>
  <c r="EK126" i="1"/>
  <c r="ET126" i="1" s="1"/>
  <c r="EK127" i="1"/>
  <c r="ET127" i="1" s="1"/>
  <c r="EK128" i="1"/>
  <c r="ET128" i="1" s="1"/>
  <c r="EK129" i="1"/>
  <c r="ET129" i="1" s="1"/>
  <c r="EK130" i="1"/>
  <c r="ET130" i="1" s="1"/>
  <c r="EK131" i="1"/>
  <c r="ET131" i="1" s="1"/>
  <c r="EK132" i="1"/>
  <c r="ET132" i="1" s="1"/>
  <c r="EK133" i="1"/>
  <c r="ET133" i="1" s="1"/>
  <c r="EK134" i="1"/>
  <c r="ET134" i="1" s="1"/>
  <c r="EK135" i="1"/>
  <c r="ET135" i="1" s="1"/>
  <c r="EK136" i="1"/>
  <c r="ET136" i="1" s="1"/>
  <c r="EK137" i="1"/>
  <c r="ET137" i="1" s="1"/>
  <c r="EK138" i="1"/>
  <c r="ET138" i="1" s="1"/>
  <c r="EK139" i="1"/>
  <c r="ET139" i="1" s="1"/>
  <c r="EK140" i="1"/>
  <c r="ET140" i="1" s="1"/>
  <c r="EK141" i="1"/>
  <c r="ET141" i="1" s="1"/>
  <c r="EK142" i="1"/>
  <c r="ET142" i="1" s="1"/>
  <c r="EK143" i="1"/>
  <c r="ET143" i="1" s="1"/>
  <c r="EK144" i="1"/>
  <c r="ET144" i="1" s="1"/>
  <c r="EK145" i="1"/>
  <c r="ET145" i="1" s="1"/>
  <c r="EK146" i="1"/>
  <c r="ET146" i="1" s="1"/>
  <c r="EK147" i="1"/>
  <c r="ET147" i="1" s="1"/>
  <c r="EK148" i="1"/>
  <c r="ET148" i="1" s="1"/>
  <c r="EK149" i="1"/>
  <c r="ET149" i="1" s="1"/>
  <c r="EK150" i="1"/>
  <c r="ET150" i="1" s="1"/>
  <c r="EK151" i="1"/>
  <c r="ET151" i="1" s="1"/>
  <c r="EK152" i="1"/>
  <c r="ET152" i="1" s="1"/>
  <c r="EK120" i="1"/>
  <c r="ET120" i="1" s="1"/>
  <c r="EK154" i="1"/>
  <c r="ET154" i="1" s="1"/>
  <c r="EK89" i="1"/>
  <c r="ET89" i="1" s="1"/>
  <c r="EK156" i="1"/>
  <c r="ET156" i="1" s="1"/>
  <c r="EK157" i="1"/>
  <c r="ET157" i="1" s="1"/>
  <c r="EK158" i="1"/>
  <c r="ET158" i="1" s="1"/>
  <c r="EK159" i="1"/>
  <c r="ET159" i="1" s="1"/>
  <c r="EK160" i="1"/>
  <c r="ET160" i="1" s="1"/>
  <c r="EK161" i="1"/>
  <c r="ET161" i="1" s="1"/>
  <c r="EK162" i="1"/>
  <c r="ET162" i="1" s="1"/>
  <c r="EK163" i="1"/>
  <c r="ET163" i="1" s="1"/>
  <c r="EK164" i="1"/>
  <c r="ET164" i="1" s="1"/>
  <c r="EK165" i="1"/>
  <c r="ET165" i="1" s="1"/>
  <c r="EK166" i="1"/>
  <c r="ET166" i="1" s="1"/>
  <c r="EK167" i="1"/>
  <c r="ET167" i="1" s="1"/>
  <c r="EK168" i="1"/>
  <c r="ET168" i="1" s="1"/>
  <c r="EK169" i="1"/>
  <c r="ET169" i="1" s="1"/>
  <c r="EK170" i="1"/>
  <c r="ET170" i="1" s="1"/>
  <c r="EK171" i="1"/>
  <c r="ET171" i="1" s="1"/>
  <c r="EK172" i="1"/>
  <c r="ET172" i="1" s="1"/>
  <c r="EK173" i="1"/>
  <c r="ET173" i="1" s="1"/>
  <c r="EK174" i="1"/>
  <c r="ET174" i="1" s="1"/>
  <c r="EK175" i="1"/>
  <c r="ET175" i="1" s="1"/>
  <c r="EK176" i="1"/>
  <c r="ET176" i="1" s="1"/>
  <c r="EK177" i="1"/>
  <c r="ET177" i="1" s="1"/>
  <c r="EK178" i="1"/>
  <c r="ET178" i="1" s="1"/>
  <c r="EK179" i="1"/>
  <c r="ET179" i="1" s="1"/>
  <c r="EK180" i="1"/>
  <c r="ET180" i="1" s="1"/>
  <c r="EK181" i="1"/>
  <c r="ET181" i="1" s="1"/>
  <c r="EK182" i="1"/>
  <c r="ET182" i="1" s="1"/>
  <c r="EK183" i="1"/>
  <c r="ET183" i="1" s="1"/>
  <c r="EK184" i="1"/>
  <c r="ET184" i="1" s="1"/>
  <c r="EK185" i="1"/>
  <c r="ET185" i="1" s="1"/>
  <c r="EK19" i="1"/>
  <c r="ET19" i="1" s="1"/>
  <c r="EK187" i="1"/>
  <c r="ET187" i="1" s="1"/>
  <c r="EK188" i="1"/>
  <c r="ET188" i="1" s="1"/>
  <c r="EK189" i="1"/>
  <c r="ET189" i="1" s="1"/>
  <c r="EK190" i="1"/>
  <c r="ET190" i="1" s="1"/>
  <c r="EK191" i="1"/>
  <c r="ET191" i="1" s="1"/>
  <c r="EK192" i="1"/>
  <c r="ET192" i="1" s="1"/>
  <c r="EK193" i="1"/>
  <c r="ET193" i="1" s="1"/>
  <c r="EK194" i="1"/>
  <c r="ET194" i="1" s="1"/>
  <c r="EK195" i="1"/>
  <c r="ET195" i="1" s="1"/>
  <c r="EK196" i="1"/>
  <c r="ET196" i="1" s="1"/>
  <c r="EK197" i="1"/>
  <c r="ET197" i="1" s="1"/>
  <c r="EK198" i="1"/>
  <c r="ET198" i="1" s="1"/>
  <c r="EK199" i="1"/>
  <c r="ET199" i="1" s="1"/>
  <c r="EK200" i="1"/>
  <c r="ET200" i="1" s="1"/>
  <c r="EK201" i="1"/>
  <c r="ET201" i="1" s="1"/>
  <c r="EK202" i="1"/>
  <c r="ET202" i="1" s="1"/>
  <c r="EK203" i="1"/>
  <c r="ET203" i="1" s="1"/>
  <c r="EK204" i="1"/>
  <c r="ET204" i="1" s="1"/>
  <c r="EK205" i="1"/>
  <c r="ET205" i="1" s="1"/>
  <c r="EK206" i="1"/>
  <c r="ET206" i="1" s="1"/>
  <c r="EK207" i="1"/>
  <c r="ET207" i="1" s="1"/>
  <c r="EK208" i="1"/>
  <c r="ET208" i="1" s="1"/>
  <c r="EK209" i="1"/>
  <c r="ET209" i="1" s="1"/>
  <c r="EK210" i="1"/>
  <c r="ET210" i="1" s="1"/>
  <c r="EK211" i="1"/>
  <c r="ET211" i="1" s="1"/>
  <c r="EK212" i="1"/>
  <c r="ET212" i="1" s="1"/>
  <c r="EK213" i="1"/>
  <c r="ET213" i="1" s="1"/>
  <c r="EK214" i="1"/>
  <c r="ET214" i="1" s="1"/>
  <c r="EK215" i="1"/>
  <c r="ET215" i="1" s="1"/>
  <c r="EK216" i="1"/>
  <c r="ET216" i="1" s="1"/>
  <c r="EK217" i="1"/>
  <c r="ET217" i="1" s="1"/>
  <c r="EK218" i="1"/>
  <c r="ET218" i="1" s="1"/>
  <c r="EK219" i="1"/>
  <c r="ET219" i="1" s="1"/>
  <c r="EK220" i="1"/>
  <c r="ET220" i="1" s="1"/>
  <c r="EK221" i="1"/>
  <c r="ET221" i="1" s="1"/>
  <c r="EK222" i="1"/>
  <c r="ET222" i="1" s="1"/>
  <c r="EK223" i="1"/>
  <c r="ET223" i="1" s="1"/>
  <c r="EK224" i="1"/>
  <c r="ET224" i="1" s="1"/>
  <c r="EK225" i="1"/>
  <c r="ET225" i="1" s="1"/>
  <c r="EK226" i="1"/>
  <c r="ET226" i="1" s="1"/>
  <c r="EK227" i="1"/>
  <c r="ET227" i="1" s="1"/>
  <c r="EK228" i="1"/>
  <c r="ET228" i="1" s="1"/>
  <c r="EK229" i="1"/>
  <c r="ET229" i="1" s="1"/>
  <c r="EK230" i="1"/>
  <c r="ET230" i="1" s="1"/>
  <c r="EK231" i="1"/>
  <c r="ET231" i="1" s="1"/>
  <c r="EK232" i="1"/>
  <c r="ET232" i="1" s="1"/>
  <c r="EK233" i="1"/>
  <c r="ET233" i="1" s="1"/>
  <c r="EK234" i="1"/>
  <c r="ET234" i="1" s="1"/>
  <c r="EK235" i="1"/>
  <c r="ET235" i="1" s="1"/>
  <c r="EK236" i="1"/>
  <c r="ET236" i="1" s="1"/>
  <c r="EK237" i="1"/>
  <c r="ET237" i="1" s="1"/>
  <c r="EK238" i="1"/>
  <c r="ET238" i="1" s="1"/>
  <c r="EK239" i="1"/>
  <c r="ET239" i="1" s="1"/>
  <c r="EK240" i="1"/>
  <c r="ET240" i="1" s="1"/>
  <c r="EK241" i="1"/>
  <c r="ET241" i="1" s="1"/>
  <c r="EK242" i="1"/>
  <c r="ET242" i="1" s="1"/>
  <c r="EK243" i="1"/>
  <c r="ET243" i="1" s="1"/>
  <c r="EK244" i="1"/>
  <c r="ET244" i="1" s="1"/>
  <c r="EK245" i="1"/>
  <c r="ET245" i="1" s="1"/>
  <c r="EK246" i="1"/>
  <c r="ET246" i="1" s="1"/>
  <c r="EK247" i="1"/>
  <c r="ET247" i="1" s="1"/>
  <c r="EK248" i="1"/>
  <c r="ET248" i="1" s="1"/>
  <c r="EK249" i="1"/>
  <c r="ET249" i="1" s="1"/>
  <c r="EK250" i="1"/>
  <c r="ET250" i="1" s="1"/>
  <c r="EK251" i="1"/>
  <c r="ET251" i="1" s="1"/>
  <c r="EK252" i="1"/>
  <c r="ET252" i="1" s="1"/>
  <c r="EK253" i="1"/>
  <c r="ET253" i="1" s="1"/>
  <c r="EK254" i="1"/>
  <c r="ET254" i="1" s="1"/>
  <c r="EK255" i="1"/>
  <c r="ET255" i="1" s="1"/>
  <c r="EK256" i="1"/>
  <c r="ET256" i="1" s="1"/>
  <c r="EK257" i="1"/>
  <c r="ET257" i="1" s="1"/>
  <c r="EK258" i="1"/>
  <c r="ET258" i="1" s="1"/>
  <c r="EK259" i="1"/>
  <c r="ET259" i="1" s="1"/>
  <c r="EK260" i="1"/>
  <c r="ET260" i="1" s="1"/>
  <c r="EK261" i="1"/>
  <c r="ET261" i="1" s="1"/>
  <c r="EK262" i="1"/>
  <c r="ET262" i="1" s="1"/>
  <c r="EK263" i="1"/>
  <c r="ET263" i="1" s="1"/>
  <c r="EK264" i="1"/>
  <c r="ET264" i="1" s="1"/>
  <c r="EK265" i="1"/>
  <c r="ET265" i="1" s="1"/>
  <c r="EK266" i="1"/>
  <c r="ET266" i="1" s="1"/>
  <c r="EK267" i="1"/>
  <c r="ET267" i="1" s="1"/>
  <c r="EK268" i="1"/>
  <c r="ET268" i="1" s="1"/>
  <c r="EK269" i="1"/>
  <c r="ET269" i="1" s="1"/>
  <c r="EK270" i="1"/>
  <c r="ET270" i="1" s="1"/>
  <c r="EK271" i="1"/>
  <c r="ET271" i="1" s="1"/>
  <c r="FA7" i="1"/>
  <c r="FA8" i="1"/>
  <c r="FA9" i="1"/>
  <c r="FA10" i="1"/>
  <c r="FA11" i="1"/>
  <c r="FA12" i="1"/>
  <c r="FA13" i="1"/>
  <c r="FA14" i="1"/>
  <c r="FA15" i="1"/>
  <c r="FA16" i="1"/>
  <c r="FA17" i="1"/>
  <c r="FA18" i="1"/>
  <c r="FA90" i="1"/>
  <c r="FA20" i="1"/>
  <c r="FA21" i="1"/>
  <c r="FA22" i="1"/>
  <c r="FA23" i="1"/>
  <c r="FA24" i="1"/>
  <c r="FA25" i="1"/>
  <c r="FA26" i="1"/>
  <c r="FA27" i="1"/>
  <c r="FA28" i="1"/>
  <c r="FA29" i="1"/>
  <c r="FA30" i="1"/>
  <c r="FA31" i="1"/>
  <c r="FA32" i="1"/>
  <c r="FA33" i="1"/>
  <c r="FA34" i="1"/>
  <c r="FA35" i="1"/>
  <c r="FA36" i="1"/>
  <c r="FA37" i="1"/>
  <c r="FA38" i="1"/>
  <c r="FA39" i="1"/>
  <c r="FA40" i="1"/>
  <c r="FA41" i="1"/>
  <c r="FA42" i="1"/>
  <c r="FA43" i="1"/>
  <c r="FA44" i="1"/>
  <c r="FA45" i="1"/>
  <c r="FA46" i="1"/>
  <c r="FA47" i="1"/>
  <c r="FA48" i="1"/>
  <c r="FA49" i="1"/>
  <c r="FA50" i="1"/>
  <c r="FA51" i="1"/>
  <c r="FA52" i="1"/>
  <c r="FA53" i="1"/>
  <c r="FA54" i="1"/>
  <c r="FA55" i="1"/>
  <c r="FA56" i="1"/>
  <c r="FA57" i="1"/>
  <c r="FA58" i="1"/>
  <c r="FA59" i="1"/>
  <c r="FA60" i="1"/>
  <c r="FA61" i="1"/>
  <c r="FA62" i="1"/>
  <c r="FA63" i="1"/>
  <c r="FA64" i="1"/>
  <c r="FA65" i="1"/>
  <c r="FA66" i="1"/>
  <c r="FA121" i="1"/>
  <c r="FA68" i="1"/>
  <c r="FA69" i="1"/>
  <c r="FA155" i="1"/>
  <c r="FA71" i="1"/>
  <c r="FA72" i="1"/>
  <c r="FA73" i="1"/>
  <c r="FA74" i="1"/>
  <c r="FA75" i="1"/>
  <c r="FA76" i="1"/>
  <c r="FA77" i="1"/>
  <c r="FA78" i="1"/>
  <c r="FA79" i="1"/>
  <c r="FA80" i="1"/>
  <c r="FA81" i="1"/>
  <c r="FA82" i="1"/>
  <c r="FA83" i="1"/>
  <c r="FA84" i="1"/>
  <c r="FA85" i="1"/>
  <c r="FA86" i="1"/>
  <c r="FA87" i="1"/>
  <c r="FA88" i="1"/>
  <c r="FA114" i="1"/>
  <c r="FA186" i="1"/>
  <c r="FA91" i="1"/>
  <c r="FA92" i="1"/>
  <c r="FA93" i="1"/>
  <c r="FA94" i="1"/>
  <c r="FA95" i="1"/>
  <c r="FA96" i="1"/>
  <c r="FA97" i="1"/>
  <c r="FA98" i="1"/>
  <c r="FA99" i="1"/>
  <c r="FA100" i="1"/>
  <c r="FA101" i="1"/>
  <c r="FA102" i="1"/>
  <c r="FA103" i="1"/>
  <c r="FA104" i="1"/>
  <c r="FA105" i="1"/>
  <c r="FA106" i="1"/>
  <c r="FA107" i="1"/>
  <c r="FA108" i="1"/>
  <c r="FA109" i="1"/>
  <c r="FA110" i="1"/>
  <c r="FA111" i="1"/>
  <c r="FA112" i="1"/>
  <c r="FA113" i="1"/>
  <c r="FA153" i="1"/>
  <c r="FA115" i="1"/>
  <c r="FA116" i="1"/>
  <c r="FA117" i="1"/>
  <c r="FA118" i="1"/>
  <c r="FA119" i="1"/>
  <c r="FA67" i="1"/>
  <c r="FA70" i="1"/>
  <c r="FA122" i="1"/>
  <c r="FA123" i="1"/>
  <c r="FA124" i="1"/>
  <c r="FA125" i="1"/>
  <c r="FA126" i="1"/>
  <c r="FA127" i="1"/>
  <c r="FA128" i="1"/>
  <c r="FA129" i="1"/>
  <c r="FA130" i="1"/>
  <c r="FA131" i="1"/>
  <c r="FA132" i="1"/>
  <c r="FA133" i="1"/>
  <c r="FA134" i="1"/>
  <c r="FA135" i="1"/>
  <c r="FA136" i="1"/>
  <c r="FA137" i="1"/>
  <c r="FA138" i="1"/>
  <c r="FA139" i="1"/>
  <c r="FA140" i="1"/>
  <c r="FA141" i="1"/>
  <c r="FA142" i="1"/>
  <c r="FA143" i="1"/>
  <c r="FA144" i="1"/>
  <c r="FA145" i="1"/>
  <c r="FA146" i="1"/>
  <c r="FA147" i="1"/>
  <c r="FA148" i="1"/>
  <c r="FA149" i="1"/>
  <c r="FA150" i="1"/>
  <c r="FA151" i="1"/>
  <c r="FA152" i="1"/>
  <c r="FA120" i="1"/>
  <c r="FA154" i="1"/>
  <c r="FA89" i="1"/>
  <c r="FA156" i="1"/>
  <c r="FA157" i="1"/>
  <c r="FA158" i="1"/>
  <c r="FA159" i="1"/>
  <c r="FA160" i="1"/>
  <c r="FA161" i="1"/>
  <c r="FA162" i="1"/>
  <c r="FA163" i="1"/>
  <c r="FA164" i="1"/>
  <c r="FA165" i="1"/>
  <c r="FA166" i="1"/>
  <c r="FA167" i="1"/>
  <c r="FA168" i="1"/>
  <c r="FA169" i="1"/>
  <c r="FA170" i="1"/>
  <c r="FA171" i="1"/>
  <c r="FA172" i="1"/>
  <c r="FA173" i="1"/>
  <c r="FA174" i="1"/>
  <c r="FA175" i="1"/>
  <c r="FA176" i="1"/>
  <c r="FA177" i="1"/>
  <c r="FA178" i="1"/>
  <c r="FA179" i="1"/>
  <c r="FA180" i="1"/>
  <c r="FA181" i="1"/>
  <c r="FA182" i="1"/>
  <c r="FA183" i="1"/>
  <c r="FA184" i="1"/>
  <c r="FA185" i="1"/>
  <c r="FA19" i="1"/>
  <c r="FA187" i="1"/>
  <c r="FA188" i="1"/>
  <c r="FA189" i="1"/>
  <c r="FA190" i="1"/>
  <c r="FA191" i="1"/>
  <c r="FA192" i="1"/>
  <c r="FA193" i="1"/>
  <c r="FA194" i="1"/>
  <c r="FA195" i="1"/>
  <c r="FA196" i="1"/>
  <c r="FA197" i="1"/>
  <c r="FA198" i="1"/>
  <c r="FA199" i="1"/>
  <c r="FA200" i="1"/>
  <c r="FA201" i="1"/>
  <c r="FA202" i="1"/>
  <c r="FA203" i="1"/>
  <c r="FA204" i="1"/>
  <c r="FA205" i="1"/>
  <c r="FA206" i="1"/>
  <c r="FA207" i="1"/>
  <c r="FA208" i="1"/>
  <c r="FA209" i="1"/>
  <c r="FA210" i="1"/>
  <c r="FA211" i="1"/>
  <c r="FA212" i="1"/>
  <c r="FA213" i="1"/>
  <c r="FA214" i="1"/>
  <c r="FA215" i="1"/>
  <c r="FA216" i="1"/>
  <c r="FA217" i="1"/>
  <c r="FA218" i="1"/>
  <c r="FA219" i="1"/>
  <c r="FA220" i="1"/>
  <c r="FA221" i="1"/>
  <c r="FA222" i="1"/>
  <c r="FA223" i="1"/>
  <c r="FA224" i="1"/>
  <c r="FA225" i="1"/>
  <c r="FA226" i="1"/>
  <c r="FA227" i="1"/>
  <c r="FA228" i="1"/>
  <c r="FA229" i="1"/>
  <c r="FA230" i="1"/>
  <c r="FA231" i="1"/>
  <c r="FA232" i="1"/>
  <c r="FA233" i="1"/>
  <c r="FA234" i="1"/>
  <c r="FA235" i="1"/>
  <c r="FA236" i="1"/>
  <c r="FA237" i="1"/>
  <c r="FA238" i="1"/>
  <c r="FA239" i="1"/>
  <c r="FA240" i="1"/>
  <c r="FA241" i="1"/>
  <c r="FA242" i="1"/>
  <c r="FA243" i="1"/>
  <c r="FA244" i="1"/>
  <c r="FA245" i="1"/>
  <c r="FA246" i="1"/>
  <c r="FA247" i="1"/>
  <c r="FA248" i="1"/>
  <c r="FA249" i="1"/>
  <c r="FA250" i="1"/>
  <c r="FA251" i="1"/>
  <c r="FA252" i="1"/>
  <c r="FA253" i="1"/>
  <c r="FA254" i="1"/>
  <c r="FA255" i="1"/>
  <c r="FA256" i="1"/>
  <c r="FA257" i="1"/>
  <c r="FA258" i="1"/>
  <c r="FA259" i="1"/>
  <c r="FA260" i="1"/>
  <c r="FA261" i="1"/>
  <c r="FA262" i="1"/>
  <c r="FA263" i="1"/>
  <c r="FA264" i="1"/>
  <c r="FA265" i="1"/>
  <c r="FA266" i="1"/>
  <c r="FA267" i="1"/>
  <c r="FA268" i="1"/>
  <c r="FA269" i="1"/>
  <c r="FA270" i="1"/>
  <c r="FA271" i="1"/>
  <c r="EU6" i="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FD6" i="1"/>
  <c r="FD7" i="1"/>
  <c r="FD8" i="1"/>
  <c r="FD9" i="1"/>
  <c r="FD10" i="1"/>
  <c r="FD11" i="1"/>
  <c r="FD12" i="1"/>
  <c r="FD13" i="1"/>
  <c r="FD14" i="1"/>
  <c r="FD15" i="1"/>
  <c r="FD16" i="1"/>
  <c r="FD17" i="1"/>
  <c r="FD18" i="1"/>
  <c r="FD90" i="1"/>
  <c r="FD20" i="1"/>
  <c r="FD21" i="1"/>
  <c r="FD22" i="1"/>
  <c r="FD23" i="1"/>
  <c r="FD24" i="1"/>
  <c r="FD25" i="1"/>
  <c r="FD26" i="1"/>
  <c r="FD27" i="1"/>
  <c r="FD28" i="1"/>
  <c r="FD29" i="1"/>
  <c r="FD30" i="1"/>
  <c r="FD31" i="1"/>
  <c r="FD32" i="1"/>
  <c r="FD33" i="1"/>
  <c r="FD34" i="1"/>
  <c r="FD35" i="1"/>
  <c r="FD36" i="1"/>
  <c r="FD37" i="1"/>
  <c r="FD38" i="1"/>
  <c r="FD39" i="1"/>
  <c r="FD40" i="1"/>
  <c r="FD41" i="1"/>
  <c r="FD42" i="1"/>
  <c r="FD43" i="1"/>
  <c r="FD44" i="1"/>
  <c r="FD45" i="1"/>
  <c r="FD46" i="1"/>
  <c r="FD47" i="1"/>
  <c r="FD48" i="1"/>
  <c r="FD49" i="1"/>
  <c r="FD50" i="1"/>
  <c r="FD51" i="1"/>
  <c r="FD52" i="1"/>
  <c r="FD53" i="1"/>
  <c r="FD54" i="1"/>
  <c r="FD55" i="1"/>
  <c r="FD56" i="1"/>
  <c r="FD57" i="1"/>
  <c r="FD58" i="1"/>
  <c r="FD59" i="1"/>
  <c r="FD60" i="1"/>
  <c r="FD61" i="1"/>
  <c r="FD62" i="1"/>
  <c r="FD63" i="1"/>
  <c r="FD64" i="1"/>
  <c r="FD65" i="1"/>
  <c r="FD66" i="1"/>
  <c r="FD121" i="1"/>
  <c r="FD68" i="1"/>
  <c r="FD69" i="1"/>
  <c r="FD155" i="1"/>
  <c r="FD71" i="1"/>
  <c r="FD72" i="1"/>
  <c r="FD73" i="1"/>
  <c r="FD74" i="1"/>
  <c r="FD75" i="1"/>
  <c r="FD76" i="1"/>
  <c r="FD77" i="1"/>
  <c r="FD78" i="1"/>
  <c r="FD79" i="1"/>
  <c r="FD80" i="1"/>
  <c r="FD81" i="1"/>
  <c r="FD82" i="1"/>
  <c r="FD83" i="1"/>
  <c r="FD84" i="1"/>
  <c r="FD85" i="1"/>
  <c r="FD86" i="1"/>
  <c r="FD87" i="1"/>
  <c r="FD88" i="1"/>
  <c r="FD114" i="1"/>
  <c r="FD186" i="1"/>
  <c r="FD91" i="1"/>
  <c r="FD92" i="1"/>
  <c r="FD93" i="1"/>
  <c r="FD94" i="1"/>
  <c r="FD95" i="1"/>
  <c r="FD96" i="1"/>
  <c r="FD97" i="1"/>
  <c r="FD98" i="1"/>
  <c r="FD99" i="1"/>
  <c r="FD100" i="1"/>
  <c r="FD101" i="1"/>
  <c r="FD102" i="1"/>
  <c r="FD103" i="1"/>
  <c r="FD104" i="1"/>
  <c r="FD105" i="1"/>
  <c r="FD106" i="1"/>
  <c r="FD107" i="1"/>
  <c r="FD108" i="1"/>
  <c r="FD109" i="1"/>
  <c r="FD110" i="1"/>
  <c r="FD111" i="1"/>
  <c r="FD112" i="1"/>
  <c r="FD113" i="1"/>
  <c r="FD153" i="1"/>
  <c r="FD115" i="1"/>
  <c r="FD116" i="1"/>
  <c r="FD117" i="1"/>
  <c r="FD118" i="1"/>
  <c r="FD119" i="1"/>
  <c r="FD67" i="1"/>
  <c r="FD70" i="1"/>
  <c r="FD122" i="1"/>
  <c r="FD123" i="1"/>
  <c r="FD124" i="1"/>
  <c r="FD125" i="1"/>
  <c r="FD126" i="1"/>
  <c r="FD127" i="1"/>
  <c r="FD128" i="1"/>
  <c r="FD129" i="1"/>
  <c r="FD130" i="1"/>
  <c r="FD131" i="1"/>
  <c r="FD132" i="1"/>
  <c r="FD133" i="1"/>
  <c r="FD134" i="1"/>
  <c r="FD135" i="1"/>
  <c r="FD136" i="1"/>
  <c r="FD137" i="1"/>
  <c r="FD138" i="1"/>
  <c r="FD139" i="1"/>
  <c r="FD140" i="1"/>
  <c r="FD141" i="1"/>
  <c r="FD142" i="1"/>
  <c r="FD143" i="1"/>
  <c r="FD144" i="1"/>
  <c r="FD145" i="1"/>
  <c r="FD146" i="1"/>
  <c r="FD147" i="1"/>
  <c r="FD148" i="1"/>
  <c r="FD149" i="1"/>
  <c r="FD150" i="1"/>
  <c r="FD151" i="1"/>
  <c r="FD152" i="1"/>
  <c r="FD120" i="1"/>
  <c r="FD154" i="1"/>
  <c r="FD89" i="1"/>
  <c r="FD156" i="1"/>
  <c r="FD157" i="1"/>
  <c r="FD158" i="1"/>
  <c r="FD159" i="1"/>
  <c r="FD160" i="1"/>
  <c r="FD161" i="1"/>
  <c r="FD162" i="1"/>
  <c r="FD163" i="1"/>
  <c r="FD164" i="1"/>
  <c r="FD165" i="1"/>
  <c r="FD166" i="1"/>
  <c r="FD167" i="1"/>
  <c r="FD168" i="1"/>
  <c r="FD169" i="1"/>
  <c r="FD170" i="1"/>
  <c r="FD171" i="1"/>
  <c r="FD172" i="1"/>
  <c r="FD173" i="1"/>
  <c r="FD174" i="1"/>
  <c r="FD175" i="1"/>
  <c r="FD176" i="1"/>
  <c r="FD177" i="1"/>
  <c r="FD178" i="1"/>
  <c r="FD179" i="1"/>
  <c r="FD180" i="1"/>
  <c r="FD181" i="1"/>
  <c r="FD182" i="1"/>
  <c r="FD183" i="1"/>
  <c r="FD184" i="1"/>
  <c r="FD185" i="1"/>
  <c r="FD19" i="1"/>
  <c r="FD187" i="1"/>
  <c r="FD188" i="1"/>
  <c r="FD189" i="1"/>
  <c r="FD190" i="1"/>
  <c r="FD191" i="1"/>
  <c r="FD192" i="1"/>
  <c r="FD193" i="1"/>
  <c r="FD194" i="1"/>
  <c r="FD195" i="1"/>
  <c r="FD196" i="1"/>
  <c r="FD197" i="1"/>
  <c r="FD198" i="1"/>
  <c r="FD199" i="1"/>
  <c r="FD200" i="1"/>
  <c r="FD201" i="1"/>
  <c r="FD202" i="1"/>
  <c r="FD203" i="1"/>
  <c r="FD204" i="1"/>
  <c r="FD205" i="1"/>
  <c r="FD206" i="1"/>
  <c r="FD207" i="1"/>
  <c r="FD208" i="1"/>
  <c r="FD209" i="1"/>
  <c r="FD210" i="1"/>
  <c r="FD211" i="1"/>
  <c r="FD212" i="1"/>
  <c r="FD213" i="1"/>
  <c r="FD214" i="1"/>
  <c r="FD215" i="1"/>
  <c r="FD216" i="1"/>
  <c r="FD217" i="1"/>
  <c r="FD218" i="1"/>
  <c r="FD219" i="1"/>
  <c r="FD220" i="1"/>
  <c r="FD221" i="1"/>
  <c r="FD222" i="1"/>
  <c r="FD223" i="1"/>
  <c r="FD224" i="1"/>
  <c r="FD225" i="1"/>
  <c r="FD226" i="1"/>
  <c r="FD227" i="1"/>
  <c r="FD228" i="1"/>
  <c r="FD229" i="1"/>
  <c r="FD230" i="1"/>
  <c r="FD231" i="1"/>
  <c r="FD232" i="1"/>
  <c r="FD233" i="1"/>
  <c r="FD234" i="1"/>
  <c r="FD235" i="1"/>
  <c r="FD236" i="1"/>
  <c r="FD237" i="1"/>
  <c r="FD238" i="1"/>
  <c r="FD239" i="1"/>
  <c r="FD240" i="1"/>
  <c r="FD241" i="1"/>
  <c r="FD242" i="1"/>
  <c r="FD243" i="1"/>
  <c r="FD244" i="1"/>
  <c r="FD245" i="1"/>
  <c r="FD246" i="1"/>
  <c r="FD247" i="1"/>
  <c r="FD248" i="1"/>
  <c r="FD249" i="1"/>
  <c r="FD250" i="1"/>
  <c r="FD251" i="1"/>
  <c r="FD252" i="1"/>
  <c r="FD253" i="1"/>
  <c r="FD254" i="1"/>
  <c r="FD255" i="1"/>
  <c r="FD256" i="1"/>
  <c r="FD257" i="1"/>
  <c r="FD258" i="1"/>
  <c r="FD259" i="1"/>
  <c r="FD260" i="1"/>
  <c r="FD261" i="1"/>
  <c r="FD262" i="1"/>
  <c r="FD263" i="1"/>
  <c r="FD264" i="1"/>
  <c r="FD265" i="1"/>
  <c r="FD266" i="1"/>
  <c r="FD267" i="1"/>
  <c r="FD268" i="1"/>
  <c r="FD269" i="1"/>
  <c r="FD270" i="1"/>
  <c r="FD271" i="1"/>
  <c r="FC7" i="1"/>
  <c r="FC8" i="1"/>
  <c r="FC9" i="1"/>
  <c r="FC10" i="1"/>
  <c r="FC11" i="1"/>
  <c r="FC12" i="1"/>
  <c r="FC13" i="1"/>
  <c r="FC14" i="1"/>
  <c r="FC15" i="1"/>
  <c r="FC16" i="1"/>
  <c r="FC17" i="1"/>
  <c r="FC18" i="1"/>
  <c r="FC90" i="1"/>
  <c r="FC20" i="1"/>
  <c r="FC21" i="1"/>
  <c r="FC22" i="1"/>
  <c r="FC23" i="1"/>
  <c r="FC24" i="1"/>
  <c r="FC25" i="1"/>
  <c r="FC26" i="1"/>
  <c r="FC27" i="1"/>
  <c r="FC28" i="1"/>
  <c r="FC29" i="1"/>
  <c r="FC30" i="1"/>
  <c r="FC31" i="1"/>
  <c r="FC32" i="1"/>
  <c r="FC33" i="1"/>
  <c r="FC34" i="1"/>
  <c r="FC35" i="1"/>
  <c r="FC36" i="1"/>
  <c r="FC37" i="1"/>
  <c r="FC38" i="1"/>
  <c r="FC39" i="1"/>
  <c r="FC40" i="1"/>
  <c r="FC41" i="1"/>
  <c r="FC42" i="1"/>
  <c r="FC43" i="1"/>
  <c r="FC44" i="1"/>
  <c r="FC45" i="1"/>
  <c r="FC46" i="1"/>
  <c r="FC47" i="1"/>
  <c r="FC48" i="1"/>
  <c r="FC49" i="1"/>
  <c r="FC50" i="1"/>
  <c r="FC51" i="1"/>
  <c r="FC52" i="1"/>
  <c r="FC53" i="1"/>
  <c r="FC54" i="1"/>
  <c r="FC55" i="1"/>
  <c r="FC56" i="1"/>
  <c r="FC57" i="1"/>
  <c r="FC58" i="1"/>
  <c r="FC59" i="1"/>
  <c r="FC60" i="1"/>
  <c r="FC61" i="1"/>
  <c r="FC62" i="1"/>
  <c r="FC63" i="1"/>
  <c r="FC64" i="1"/>
  <c r="FC65" i="1"/>
  <c r="FC66" i="1"/>
  <c r="FC121" i="1"/>
  <c r="FC68" i="1"/>
  <c r="FC69" i="1"/>
  <c r="FC155" i="1"/>
  <c r="FC71" i="1"/>
  <c r="FC72" i="1"/>
  <c r="FC73" i="1"/>
  <c r="FC74" i="1"/>
  <c r="FC75" i="1"/>
  <c r="FC76" i="1"/>
  <c r="FC77" i="1"/>
  <c r="FC78" i="1"/>
  <c r="FC79" i="1"/>
  <c r="FC80" i="1"/>
  <c r="FC81" i="1"/>
  <c r="FC82" i="1"/>
  <c r="FC83" i="1"/>
  <c r="FC84" i="1"/>
  <c r="FC85" i="1"/>
  <c r="FC86" i="1"/>
  <c r="FC87" i="1"/>
  <c r="FC88" i="1"/>
  <c r="FC114" i="1"/>
  <c r="FC186" i="1"/>
  <c r="FC91" i="1"/>
  <c r="FC92" i="1"/>
  <c r="FC93" i="1"/>
  <c r="FC94" i="1"/>
  <c r="FC95" i="1"/>
  <c r="FC96" i="1"/>
  <c r="FC97" i="1"/>
  <c r="FC98" i="1"/>
  <c r="FC99" i="1"/>
  <c r="FC100" i="1"/>
  <c r="FC101" i="1"/>
  <c r="FC102" i="1"/>
  <c r="FC103" i="1"/>
  <c r="FC104" i="1"/>
  <c r="FC105" i="1"/>
  <c r="FC106" i="1"/>
  <c r="FC107" i="1"/>
  <c r="FC108" i="1"/>
  <c r="FC109" i="1"/>
  <c r="FC110" i="1"/>
  <c r="FC111" i="1"/>
  <c r="FC112" i="1"/>
  <c r="FC113" i="1"/>
  <c r="FC153" i="1"/>
  <c r="FC115" i="1"/>
  <c r="FC116" i="1"/>
  <c r="FC117" i="1"/>
  <c r="FC118" i="1"/>
  <c r="FC119" i="1"/>
  <c r="FC67" i="1"/>
  <c r="FC70" i="1"/>
  <c r="FC122" i="1"/>
  <c r="FC123" i="1"/>
  <c r="FC124" i="1"/>
  <c r="FC125" i="1"/>
  <c r="FC126" i="1"/>
  <c r="FC127" i="1"/>
  <c r="FC128" i="1"/>
  <c r="FC129" i="1"/>
  <c r="FC130" i="1"/>
  <c r="FC131" i="1"/>
  <c r="FC132" i="1"/>
  <c r="FC133" i="1"/>
  <c r="FC134" i="1"/>
  <c r="FC135" i="1"/>
  <c r="FC136" i="1"/>
  <c r="FC137" i="1"/>
  <c r="FC138" i="1"/>
  <c r="FC139" i="1"/>
  <c r="FC140" i="1"/>
  <c r="FC141" i="1"/>
  <c r="FC142" i="1"/>
  <c r="FC143" i="1"/>
  <c r="FC144" i="1"/>
  <c r="FC145" i="1"/>
  <c r="FC146" i="1"/>
  <c r="FC147" i="1"/>
  <c r="FC148" i="1"/>
  <c r="FC149" i="1"/>
  <c r="FC150" i="1"/>
  <c r="FC151" i="1"/>
  <c r="FC152" i="1"/>
  <c r="FC120" i="1"/>
  <c r="FC154" i="1"/>
  <c r="FC89" i="1"/>
  <c r="FC156" i="1"/>
  <c r="FC157" i="1"/>
  <c r="FC158" i="1"/>
  <c r="FC159" i="1"/>
  <c r="FC160" i="1"/>
  <c r="FC161" i="1"/>
  <c r="FC162" i="1"/>
  <c r="FC163" i="1"/>
  <c r="FC164" i="1"/>
  <c r="FC165" i="1"/>
  <c r="FC166" i="1"/>
  <c r="FC167" i="1"/>
  <c r="FC168" i="1"/>
  <c r="FC169" i="1"/>
  <c r="FC170" i="1"/>
  <c r="FC171" i="1"/>
  <c r="FC172" i="1"/>
  <c r="FC173" i="1"/>
  <c r="FC174" i="1"/>
  <c r="FC175" i="1"/>
  <c r="FC176" i="1"/>
  <c r="FC177" i="1"/>
  <c r="FC178" i="1"/>
  <c r="FC179" i="1"/>
  <c r="FC180" i="1"/>
  <c r="FC181" i="1"/>
  <c r="FC182" i="1"/>
  <c r="FC183" i="1"/>
  <c r="FC184" i="1"/>
  <c r="FC185" i="1"/>
  <c r="FC19" i="1"/>
  <c r="FC187" i="1"/>
  <c r="FC188" i="1"/>
  <c r="FC189" i="1"/>
  <c r="FC190" i="1"/>
  <c r="FC191" i="1"/>
  <c r="FC192" i="1"/>
  <c r="FC193" i="1"/>
  <c r="FC194" i="1"/>
  <c r="FC195" i="1"/>
  <c r="FC196" i="1"/>
  <c r="FC197" i="1"/>
  <c r="FC198" i="1"/>
  <c r="FC199" i="1"/>
  <c r="FC200" i="1"/>
  <c r="FC201" i="1"/>
  <c r="FC202" i="1"/>
  <c r="FC203" i="1"/>
  <c r="FC204" i="1"/>
  <c r="FC205" i="1"/>
  <c r="FC206" i="1"/>
  <c r="FC207" i="1"/>
  <c r="FC208" i="1"/>
  <c r="FC209" i="1"/>
  <c r="FC210" i="1"/>
  <c r="FC211" i="1"/>
  <c r="FC212" i="1"/>
  <c r="FC213" i="1"/>
  <c r="FC214" i="1"/>
  <c r="FC215" i="1"/>
  <c r="FC216" i="1"/>
  <c r="FC217" i="1"/>
  <c r="FC218" i="1"/>
  <c r="FC219" i="1"/>
  <c r="FC220" i="1"/>
  <c r="FC221" i="1"/>
  <c r="FC222" i="1"/>
  <c r="FC223" i="1"/>
  <c r="FC224" i="1"/>
  <c r="FC225" i="1"/>
  <c r="FC226" i="1"/>
  <c r="FC227" i="1"/>
  <c r="FC228" i="1"/>
  <c r="FC229" i="1"/>
  <c r="FC230" i="1"/>
  <c r="FC231" i="1"/>
  <c r="FC232" i="1"/>
  <c r="FC233" i="1"/>
  <c r="FC234" i="1"/>
  <c r="FC235" i="1"/>
  <c r="FC236" i="1"/>
  <c r="FC237" i="1"/>
  <c r="FC238" i="1"/>
  <c r="FC239" i="1"/>
  <c r="FC240" i="1"/>
  <c r="FC241" i="1"/>
  <c r="FC242" i="1"/>
  <c r="FC243" i="1"/>
  <c r="FC244" i="1"/>
  <c r="FC245" i="1"/>
  <c r="FC246" i="1"/>
  <c r="FC247" i="1"/>
  <c r="FC248" i="1"/>
  <c r="FC249" i="1"/>
  <c r="FC250" i="1"/>
  <c r="FC251" i="1"/>
  <c r="FC252" i="1"/>
  <c r="FC253" i="1"/>
  <c r="FC254" i="1"/>
  <c r="FC255" i="1"/>
  <c r="FC256" i="1"/>
  <c r="FC257" i="1"/>
  <c r="FC258" i="1"/>
  <c r="FC259" i="1"/>
  <c r="FC260" i="1"/>
  <c r="FC261" i="1"/>
  <c r="FC262" i="1"/>
  <c r="FC263" i="1"/>
  <c r="FC264" i="1"/>
  <c r="FC265" i="1"/>
  <c r="FC266" i="1"/>
  <c r="FC267" i="1"/>
  <c r="FC268" i="1"/>
  <c r="FC269" i="1"/>
  <c r="FC270" i="1"/>
  <c r="FC271" i="1"/>
  <c r="EJ7" i="1" a="1"/>
  <c r="EJ7" i="1" s="1"/>
  <c r="EJ8" i="1" a="1"/>
  <c r="EJ8" i="1" s="1"/>
  <c r="EJ9" i="1" a="1"/>
  <c r="EJ9" i="1" s="1"/>
  <c r="EJ10" i="1" a="1"/>
  <c r="EJ10" i="1" s="1"/>
  <c r="EJ11" i="1" a="1"/>
  <c r="EJ11" i="1" s="1"/>
  <c r="EJ12" i="1" a="1"/>
  <c r="EJ12" i="1" s="1"/>
  <c r="EJ13" i="1" a="1"/>
  <c r="EJ13" i="1" s="1"/>
  <c r="EJ14" i="1" a="1"/>
  <c r="EJ14" i="1" s="1"/>
  <c r="EJ15" i="1" a="1"/>
  <c r="EJ15" i="1" s="1"/>
  <c r="EJ16" i="1" a="1"/>
  <c r="EJ16" i="1" s="1"/>
  <c r="EJ17" i="1" a="1"/>
  <c r="EJ17" i="1" s="1"/>
  <c r="EJ18" i="1" a="1"/>
  <c r="EJ18" i="1" s="1"/>
  <c r="EJ90" i="1" a="1"/>
  <c r="EJ90" i="1" s="1"/>
  <c r="EJ20" i="1" a="1"/>
  <c r="EJ20" i="1" s="1"/>
  <c r="EJ21" i="1" a="1"/>
  <c r="EJ21" i="1" s="1"/>
  <c r="EJ22" i="1" a="1"/>
  <c r="EJ22" i="1" s="1"/>
  <c r="EJ23" i="1" a="1"/>
  <c r="EJ23" i="1" s="1"/>
  <c r="EJ24" i="1" a="1"/>
  <c r="EJ24" i="1" s="1"/>
  <c r="EJ25" i="1" a="1"/>
  <c r="EJ25" i="1" s="1"/>
  <c r="EJ26" i="1" a="1"/>
  <c r="EJ26" i="1" s="1"/>
  <c r="EJ27" i="1" a="1"/>
  <c r="EJ27" i="1" s="1"/>
  <c r="EJ28" i="1" a="1"/>
  <c r="EJ28" i="1" s="1"/>
  <c r="EJ29" i="1" a="1"/>
  <c r="EJ29" i="1" s="1"/>
  <c r="EJ30" i="1" a="1"/>
  <c r="EJ30" i="1" s="1"/>
  <c r="EJ31" i="1" a="1"/>
  <c r="EJ31" i="1" s="1"/>
  <c r="EJ32" i="1" a="1"/>
  <c r="EJ32" i="1" s="1"/>
  <c r="EJ33" i="1" a="1"/>
  <c r="EJ33" i="1" s="1"/>
  <c r="EJ34" i="1" a="1"/>
  <c r="EJ34" i="1" s="1"/>
  <c r="EJ35" i="1" a="1"/>
  <c r="EJ35" i="1" s="1"/>
  <c r="EJ36" i="1" a="1"/>
  <c r="EJ36" i="1" s="1"/>
  <c r="EJ37" i="1" a="1"/>
  <c r="EJ37" i="1" s="1"/>
  <c r="EJ38" i="1" a="1"/>
  <c r="EJ38" i="1" s="1"/>
  <c r="EJ39" i="1" a="1"/>
  <c r="EJ39" i="1" s="1"/>
  <c r="EJ40" i="1" a="1"/>
  <c r="EJ40" i="1" s="1"/>
  <c r="EJ41" i="1" a="1"/>
  <c r="EJ41" i="1" s="1"/>
  <c r="EJ42" i="1" a="1"/>
  <c r="EJ42" i="1" s="1"/>
  <c r="EJ43" i="1" a="1"/>
  <c r="EJ43" i="1" s="1"/>
  <c r="EJ44" i="1" a="1"/>
  <c r="EJ44" i="1" s="1"/>
  <c r="EJ45" i="1" a="1"/>
  <c r="EJ45" i="1" s="1"/>
  <c r="EJ46" i="1" a="1"/>
  <c r="EJ46" i="1" s="1"/>
  <c r="EJ47" i="1" a="1"/>
  <c r="EJ47" i="1" s="1"/>
  <c r="EJ48" i="1" a="1"/>
  <c r="EJ48" i="1" s="1"/>
  <c r="EJ49" i="1" a="1"/>
  <c r="EJ49" i="1" s="1"/>
  <c r="EJ50" i="1" a="1"/>
  <c r="EJ50" i="1" s="1"/>
  <c r="EJ51" i="1" a="1"/>
  <c r="EJ51" i="1" s="1"/>
  <c r="EJ52" i="1" a="1"/>
  <c r="EJ52" i="1" s="1"/>
  <c r="EJ53" i="1" a="1"/>
  <c r="EJ53" i="1" s="1"/>
  <c r="EJ54" i="1" a="1"/>
  <c r="EJ54" i="1" s="1"/>
  <c r="EJ55" i="1" a="1"/>
  <c r="EJ55" i="1" s="1"/>
  <c r="EJ56" i="1" a="1"/>
  <c r="EJ56" i="1" s="1"/>
  <c r="EJ57" i="1" a="1"/>
  <c r="EJ57" i="1" s="1"/>
  <c r="EJ58" i="1" a="1"/>
  <c r="EJ58" i="1" s="1"/>
  <c r="EJ59" i="1" a="1"/>
  <c r="EJ59" i="1" s="1"/>
  <c r="EJ60" i="1" a="1"/>
  <c r="EJ60" i="1" s="1"/>
  <c r="EJ61" i="1" a="1"/>
  <c r="EJ61" i="1" s="1"/>
  <c r="EJ62" i="1" a="1"/>
  <c r="EJ62" i="1" s="1"/>
  <c r="EJ63" i="1" a="1"/>
  <c r="EJ63" i="1" s="1"/>
  <c r="EJ64" i="1" a="1"/>
  <c r="EJ64" i="1" s="1"/>
  <c r="EJ65" i="1" a="1"/>
  <c r="EJ65" i="1" s="1"/>
  <c r="EJ66" i="1" a="1"/>
  <c r="EJ66" i="1" s="1"/>
  <c r="EJ121" i="1" a="1"/>
  <c r="EJ121" i="1" s="1"/>
  <c r="EJ68" i="1" a="1"/>
  <c r="EJ68" i="1" s="1"/>
  <c r="EJ69" i="1" a="1"/>
  <c r="EJ69" i="1" s="1"/>
  <c r="EJ155" i="1" a="1"/>
  <c r="EJ155" i="1" s="1"/>
  <c r="EJ71" i="1" a="1"/>
  <c r="EJ71" i="1" s="1"/>
  <c r="EJ72" i="1" a="1"/>
  <c r="EJ72" i="1" s="1"/>
  <c r="EJ73" i="1" a="1"/>
  <c r="EJ73" i="1" s="1"/>
  <c r="EJ74" i="1" a="1"/>
  <c r="EJ74" i="1" s="1"/>
  <c r="EJ75" i="1" a="1"/>
  <c r="EJ75" i="1" s="1"/>
  <c r="EJ76" i="1" a="1"/>
  <c r="EJ76" i="1" s="1"/>
  <c r="EJ77" i="1" a="1"/>
  <c r="EJ77" i="1" s="1"/>
  <c r="EJ78" i="1" a="1"/>
  <c r="EJ78" i="1" s="1"/>
  <c r="EJ79" i="1" a="1"/>
  <c r="EJ79" i="1" s="1"/>
  <c r="EJ80" i="1" a="1"/>
  <c r="EJ80" i="1" s="1"/>
  <c r="EJ81" i="1" a="1"/>
  <c r="EJ81" i="1" s="1"/>
  <c r="EJ82" i="1" a="1"/>
  <c r="EJ82" i="1" s="1"/>
  <c r="EJ83" i="1" a="1"/>
  <c r="EJ83" i="1" s="1"/>
  <c r="EJ84" i="1" a="1"/>
  <c r="EJ84" i="1" s="1"/>
  <c r="EJ85" i="1" a="1"/>
  <c r="EJ85" i="1" s="1"/>
  <c r="EJ86" i="1" a="1"/>
  <c r="EJ86" i="1" s="1"/>
  <c r="EJ87" i="1" a="1"/>
  <c r="EJ87" i="1" s="1"/>
  <c r="EJ88" i="1" a="1"/>
  <c r="EJ88" i="1" s="1"/>
  <c r="EJ114" i="1" a="1"/>
  <c r="EJ114" i="1" s="1"/>
  <c r="EJ186" i="1" a="1"/>
  <c r="EJ186" i="1" s="1"/>
  <c r="EJ91" i="1" a="1"/>
  <c r="EJ91" i="1" s="1"/>
  <c r="EJ92" i="1" a="1"/>
  <c r="EJ92" i="1" s="1"/>
  <c r="EJ93" i="1" a="1"/>
  <c r="EJ93" i="1" s="1"/>
  <c r="EJ94" i="1" a="1"/>
  <c r="EJ94" i="1" s="1"/>
  <c r="EJ95" i="1" a="1"/>
  <c r="EJ95" i="1" s="1"/>
  <c r="EJ96" i="1" a="1"/>
  <c r="EJ96" i="1" s="1"/>
  <c r="EJ97" i="1" a="1"/>
  <c r="EJ97" i="1" s="1"/>
  <c r="EJ98" i="1" a="1"/>
  <c r="EJ98" i="1" s="1"/>
  <c r="EJ99" i="1" a="1"/>
  <c r="EJ99" i="1" s="1"/>
  <c r="EJ100" i="1" a="1"/>
  <c r="EJ100" i="1" s="1"/>
  <c r="EJ101" i="1" a="1"/>
  <c r="EJ101" i="1" s="1"/>
  <c r="EJ102" i="1" a="1"/>
  <c r="EJ102" i="1" s="1"/>
  <c r="EJ103" i="1" a="1"/>
  <c r="EJ103" i="1" s="1"/>
  <c r="EJ104" i="1" a="1"/>
  <c r="EJ104" i="1" s="1"/>
  <c r="EJ105" i="1" a="1"/>
  <c r="EJ105" i="1" s="1"/>
  <c r="EJ106" i="1" a="1"/>
  <c r="EJ106" i="1" s="1"/>
  <c r="EJ107" i="1" a="1"/>
  <c r="EJ107" i="1" s="1"/>
  <c r="EJ108" i="1" a="1"/>
  <c r="EJ108" i="1" s="1"/>
  <c r="EJ109" i="1" a="1"/>
  <c r="EJ109" i="1" s="1"/>
  <c r="EJ110" i="1" a="1"/>
  <c r="EJ110" i="1" s="1"/>
  <c r="EJ111" i="1" a="1"/>
  <c r="EJ111" i="1" s="1"/>
  <c r="EJ112" i="1" a="1"/>
  <c r="EJ112" i="1" s="1"/>
  <c r="EJ113" i="1" a="1"/>
  <c r="EJ113" i="1" s="1"/>
  <c r="EJ153" i="1" a="1"/>
  <c r="EJ153" i="1" s="1"/>
  <c r="EJ115" i="1" a="1"/>
  <c r="EJ115" i="1" s="1"/>
  <c r="EJ116" i="1" a="1"/>
  <c r="EJ116" i="1" s="1"/>
  <c r="EJ117" i="1" a="1"/>
  <c r="EJ117" i="1" s="1"/>
  <c r="EJ118" i="1" a="1"/>
  <c r="EJ118" i="1" s="1"/>
  <c r="EJ119" i="1" a="1"/>
  <c r="EJ119" i="1" s="1"/>
  <c r="EJ67" i="1" a="1"/>
  <c r="EJ67" i="1" s="1"/>
  <c r="EJ70" i="1" a="1"/>
  <c r="EJ70" i="1" s="1"/>
  <c r="EJ122" i="1" a="1"/>
  <c r="EJ122" i="1" s="1"/>
  <c r="EJ123" i="1" a="1"/>
  <c r="EJ123" i="1" s="1"/>
  <c r="EJ124" i="1" a="1"/>
  <c r="EJ124" i="1" s="1"/>
  <c r="EJ125" i="1" a="1"/>
  <c r="EJ125" i="1" s="1"/>
  <c r="EJ126" i="1" a="1"/>
  <c r="EJ126" i="1" s="1"/>
  <c r="EJ127" i="1" a="1"/>
  <c r="EJ127" i="1" s="1"/>
  <c r="EJ128" i="1" a="1"/>
  <c r="EJ128" i="1" s="1"/>
  <c r="EJ129" i="1" a="1"/>
  <c r="EJ129" i="1" s="1"/>
  <c r="EJ130" i="1" a="1"/>
  <c r="EJ130" i="1" s="1"/>
  <c r="EJ131" i="1" a="1"/>
  <c r="EJ131" i="1" s="1"/>
  <c r="EJ132" i="1" a="1"/>
  <c r="EJ132" i="1" s="1"/>
  <c r="EJ133" i="1" a="1"/>
  <c r="EJ133" i="1" s="1"/>
  <c r="EJ134" i="1" a="1"/>
  <c r="EJ134" i="1" s="1"/>
  <c r="EJ135" i="1" a="1"/>
  <c r="EJ135" i="1" s="1"/>
  <c r="EJ136" i="1" a="1"/>
  <c r="EJ136" i="1" s="1"/>
  <c r="EJ137" i="1" a="1"/>
  <c r="EJ137" i="1" s="1"/>
  <c r="EJ138" i="1" a="1"/>
  <c r="EJ138" i="1" s="1"/>
  <c r="EJ139" i="1" a="1"/>
  <c r="EJ139" i="1" s="1"/>
  <c r="EJ140" i="1" a="1"/>
  <c r="EJ140" i="1" s="1"/>
  <c r="EJ141" i="1" a="1"/>
  <c r="EJ141" i="1" s="1"/>
  <c r="EJ142" i="1" a="1"/>
  <c r="EJ142" i="1" s="1"/>
  <c r="EJ143" i="1" a="1"/>
  <c r="EJ143" i="1" s="1"/>
  <c r="EJ144" i="1" a="1"/>
  <c r="EJ144" i="1" s="1"/>
  <c r="EJ145" i="1" a="1"/>
  <c r="EJ145" i="1" s="1"/>
  <c r="EJ146" i="1" a="1"/>
  <c r="EJ146" i="1" s="1"/>
  <c r="EJ147" i="1" a="1"/>
  <c r="EJ147" i="1" s="1"/>
  <c r="EJ148" i="1" a="1"/>
  <c r="EJ148" i="1" s="1"/>
  <c r="EJ149" i="1" a="1"/>
  <c r="EJ149" i="1" s="1"/>
  <c r="EJ150" i="1" a="1"/>
  <c r="EJ150" i="1" s="1"/>
  <c r="EJ151" i="1" a="1"/>
  <c r="EJ151" i="1" s="1"/>
  <c r="EJ152" i="1" a="1"/>
  <c r="EJ152" i="1" s="1"/>
  <c r="EJ120" i="1" a="1"/>
  <c r="EJ120" i="1" s="1"/>
  <c r="EJ154" i="1" a="1"/>
  <c r="EJ154" i="1" s="1"/>
  <c r="EJ89" i="1" a="1"/>
  <c r="EJ89" i="1" s="1"/>
  <c r="EJ156" i="1" a="1"/>
  <c r="EJ156" i="1" s="1"/>
  <c r="EJ157" i="1" a="1"/>
  <c r="EJ157" i="1" s="1"/>
  <c r="EJ158" i="1" a="1"/>
  <c r="EJ158" i="1" s="1"/>
  <c r="EJ159" i="1" a="1"/>
  <c r="EJ159" i="1" s="1"/>
  <c r="EJ160" i="1" a="1"/>
  <c r="EJ160" i="1" s="1"/>
  <c r="EJ161" i="1" a="1"/>
  <c r="EJ161" i="1" s="1"/>
  <c r="EJ162" i="1" a="1"/>
  <c r="EJ162" i="1" s="1"/>
  <c r="EJ163" i="1" a="1"/>
  <c r="EJ163" i="1" s="1"/>
  <c r="EJ164" i="1" a="1"/>
  <c r="EJ164" i="1" s="1"/>
  <c r="EJ165" i="1" a="1"/>
  <c r="EJ165" i="1" s="1"/>
  <c r="EJ166" i="1" a="1"/>
  <c r="EJ166" i="1" s="1"/>
  <c r="EJ167" i="1" a="1"/>
  <c r="EJ167" i="1" s="1"/>
  <c r="EJ168" i="1" a="1"/>
  <c r="EJ168" i="1" s="1"/>
  <c r="EJ169" i="1" a="1"/>
  <c r="EJ169" i="1" s="1"/>
  <c r="EJ170" i="1" a="1"/>
  <c r="EJ170" i="1" s="1"/>
  <c r="EJ171" i="1" a="1"/>
  <c r="EJ171" i="1" s="1"/>
  <c r="EJ172" i="1" a="1"/>
  <c r="EJ172" i="1" s="1"/>
  <c r="EJ173" i="1" a="1"/>
  <c r="EJ173" i="1" s="1"/>
  <c r="EJ174" i="1" a="1"/>
  <c r="EJ174" i="1" s="1"/>
  <c r="EJ175" i="1" a="1"/>
  <c r="EJ175" i="1" s="1"/>
  <c r="EJ176" i="1" a="1"/>
  <c r="EJ176" i="1" s="1"/>
  <c r="EJ177" i="1" a="1"/>
  <c r="EJ177" i="1" s="1"/>
  <c r="EJ178" i="1" a="1"/>
  <c r="EJ178" i="1" s="1"/>
  <c r="EJ179" i="1" a="1"/>
  <c r="EJ179" i="1" s="1"/>
  <c r="EJ180" i="1" a="1"/>
  <c r="EJ180" i="1" s="1"/>
  <c r="EJ181" i="1" a="1"/>
  <c r="EJ181" i="1" s="1"/>
  <c r="EJ182" i="1" a="1"/>
  <c r="EJ182" i="1" s="1"/>
  <c r="EJ183" i="1" a="1"/>
  <c r="EJ183" i="1" s="1"/>
  <c r="EJ184" i="1" a="1"/>
  <c r="EJ184" i="1" s="1"/>
  <c r="EJ185" i="1" a="1"/>
  <c r="EJ185" i="1" s="1"/>
  <c r="EJ19" i="1" a="1"/>
  <c r="EJ19" i="1" s="1"/>
  <c r="EJ187" i="1" a="1"/>
  <c r="EJ187" i="1" s="1"/>
  <c r="EJ188" i="1" a="1"/>
  <c r="EJ188" i="1" s="1"/>
  <c r="EJ189" i="1" a="1"/>
  <c r="EJ189" i="1" s="1"/>
  <c r="EJ190" i="1" a="1"/>
  <c r="EJ190" i="1" s="1"/>
  <c r="EJ191" i="1" a="1"/>
  <c r="EJ191" i="1" s="1"/>
  <c r="EJ192" i="1" a="1"/>
  <c r="EJ192" i="1" s="1"/>
  <c r="EJ193" i="1" a="1"/>
  <c r="EJ193" i="1" s="1"/>
  <c r="EJ194" i="1" a="1"/>
  <c r="EJ194" i="1" s="1"/>
  <c r="EJ195" i="1" a="1"/>
  <c r="EJ195" i="1" s="1"/>
  <c r="EJ196" i="1" a="1"/>
  <c r="EJ196" i="1" s="1"/>
  <c r="EJ197" i="1" a="1"/>
  <c r="EJ197" i="1" s="1"/>
  <c r="EJ198" i="1" a="1"/>
  <c r="EJ198" i="1" s="1"/>
  <c r="EJ199" i="1" a="1"/>
  <c r="EJ199" i="1" s="1"/>
  <c r="EJ200" i="1" a="1"/>
  <c r="EJ200" i="1" s="1"/>
  <c r="EJ201" i="1" a="1"/>
  <c r="EJ201" i="1" s="1"/>
  <c r="EJ202" i="1" a="1"/>
  <c r="EJ202" i="1" s="1"/>
  <c r="EJ203" i="1" a="1"/>
  <c r="EJ203" i="1" s="1"/>
  <c r="EJ204" i="1" a="1"/>
  <c r="EJ204" i="1" s="1"/>
  <c r="EJ205" i="1" a="1"/>
  <c r="EJ205" i="1" s="1"/>
  <c r="EJ206" i="1" a="1"/>
  <c r="EJ206" i="1" s="1"/>
  <c r="EJ207" i="1" a="1"/>
  <c r="EJ207" i="1" s="1"/>
  <c r="EJ208" i="1" a="1"/>
  <c r="EJ208" i="1" s="1"/>
  <c r="EJ209" i="1" a="1"/>
  <c r="EJ209" i="1" s="1"/>
  <c r="EJ210" i="1" a="1"/>
  <c r="EJ210" i="1" s="1"/>
  <c r="EJ211" i="1" a="1"/>
  <c r="EJ211" i="1" s="1"/>
  <c r="EJ212" i="1" a="1"/>
  <c r="EJ212" i="1" s="1"/>
  <c r="EJ213" i="1" a="1"/>
  <c r="EJ213" i="1" s="1"/>
  <c r="EJ214" i="1" a="1"/>
  <c r="EJ214" i="1" s="1"/>
  <c r="EJ215" i="1" a="1"/>
  <c r="EJ215" i="1" s="1"/>
  <c r="EJ216" i="1" a="1"/>
  <c r="EJ216" i="1" s="1"/>
  <c r="EJ217" i="1" a="1"/>
  <c r="EJ217" i="1" s="1"/>
  <c r="EJ218" i="1" a="1"/>
  <c r="EJ218" i="1" s="1"/>
  <c r="EJ219" i="1" a="1"/>
  <c r="EJ219" i="1" s="1"/>
  <c r="EJ220" i="1" a="1"/>
  <c r="EJ220" i="1" s="1"/>
  <c r="EJ221" i="1" a="1"/>
  <c r="EJ221" i="1" s="1"/>
  <c r="EJ222" i="1" a="1"/>
  <c r="EJ222" i="1" s="1"/>
  <c r="EJ223" i="1" a="1"/>
  <c r="EJ223" i="1" s="1"/>
  <c r="EJ224" i="1" a="1"/>
  <c r="EJ224" i="1" s="1"/>
  <c r="EJ225" i="1" a="1"/>
  <c r="EJ225" i="1" s="1"/>
  <c r="EJ226" i="1" a="1"/>
  <c r="EJ226" i="1" s="1"/>
  <c r="EJ227" i="1" a="1"/>
  <c r="EJ227" i="1" s="1"/>
  <c r="EJ228" i="1" a="1"/>
  <c r="EJ228" i="1" s="1"/>
  <c r="EJ229" i="1" a="1"/>
  <c r="EJ229" i="1" s="1"/>
  <c r="EJ230" i="1" a="1"/>
  <c r="EJ230" i="1" s="1"/>
  <c r="EJ231" i="1" a="1"/>
  <c r="EJ231" i="1" s="1"/>
  <c r="EJ232" i="1" a="1"/>
  <c r="EJ232" i="1" s="1"/>
  <c r="EJ233" i="1" a="1"/>
  <c r="EJ233" i="1" s="1"/>
  <c r="EJ234" i="1" a="1"/>
  <c r="EJ234" i="1" s="1"/>
  <c r="EJ235" i="1" a="1"/>
  <c r="EJ235" i="1" s="1"/>
  <c r="EJ236" i="1" a="1"/>
  <c r="EJ236" i="1" s="1"/>
  <c r="EJ237" i="1" a="1"/>
  <c r="EJ237" i="1" s="1"/>
  <c r="EJ238" i="1" a="1"/>
  <c r="EJ238" i="1" s="1"/>
  <c r="EJ239" i="1" a="1"/>
  <c r="EJ239" i="1" s="1"/>
  <c r="EJ240" i="1" a="1"/>
  <c r="EJ240" i="1" s="1"/>
  <c r="EJ241" i="1" a="1"/>
  <c r="EJ241" i="1" s="1"/>
  <c r="EJ242" i="1" a="1"/>
  <c r="EJ242" i="1" s="1"/>
  <c r="EJ243" i="1" a="1"/>
  <c r="EJ243" i="1" s="1"/>
  <c r="EJ244" i="1" a="1"/>
  <c r="EJ244" i="1" s="1"/>
  <c r="EJ245" i="1" a="1"/>
  <c r="EJ245" i="1" s="1"/>
  <c r="EJ246" i="1" a="1"/>
  <c r="EJ246" i="1" s="1"/>
  <c r="EJ247" i="1" a="1"/>
  <c r="EJ247" i="1" s="1"/>
  <c r="EJ248" i="1" a="1"/>
  <c r="EJ248" i="1" s="1"/>
  <c r="EJ249" i="1" a="1"/>
  <c r="EJ249" i="1" s="1"/>
  <c r="EJ250" i="1" a="1"/>
  <c r="EJ250" i="1" s="1"/>
  <c r="EJ251" i="1" a="1"/>
  <c r="EJ251" i="1" s="1"/>
  <c r="EJ252" i="1" a="1"/>
  <c r="EJ252" i="1" s="1"/>
  <c r="EJ253" i="1" a="1"/>
  <c r="EJ253" i="1" s="1"/>
  <c r="EJ254" i="1" a="1"/>
  <c r="EJ254" i="1" s="1"/>
  <c r="EJ255" i="1" a="1"/>
  <c r="EJ255" i="1" s="1"/>
  <c r="EJ256" i="1" a="1"/>
  <c r="EJ256" i="1" s="1"/>
  <c r="EJ257" i="1" a="1"/>
  <c r="EJ257" i="1" s="1"/>
  <c r="EJ258" i="1" a="1"/>
  <c r="EJ258" i="1" s="1"/>
  <c r="EJ259" i="1" a="1"/>
  <c r="EJ259" i="1" s="1"/>
  <c r="EJ260" i="1" a="1"/>
  <c r="EJ260" i="1" s="1"/>
  <c r="EJ261" i="1" a="1"/>
  <c r="EJ261" i="1" s="1"/>
  <c r="EJ262" i="1" a="1"/>
  <c r="EJ262" i="1" s="1"/>
  <c r="EJ263" i="1" a="1"/>
  <c r="EJ263" i="1" s="1"/>
  <c r="EJ264" i="1" a="1"/>
  <c r="EJ264" i="1" s="1"/>
  <c r="EJ265" i="1" a="1"/>
  <c r="EJ265" i="1" s="1"/>
  <c r="EJ266" i="1" a="1"/>
  <c r="EJ266" i="1" s="1"/>
  <c r="EJ267" i="1" a="1"/>
  <c r="EJ267" i="1" s="1"/>
  <c r="EJ268" i="1" a="1"/>
  <c r="EJ268" i="1" s="1"/>
  <c r="EJ269" i="1" a="1"/>
  <c r="EJ269" i="1" s="1"/>
  <c r="EJ270" i="1" a="1"/>
  <c r="EJ270" i="1" s="1"/>
  <c r="EJ271" i="1" a="1"/>
  <c r="EJ271" i="1" s="1"/>
  <c r="EJ6" i="1" a="1"/>
  <c r="EJ6" i="1" s="1"/>
  <c r="EZ7" i="1"/>
  <c r="EZ8" i="1"/>
  <c r="EZ9" i="1"/>
  <c r="EZ10" i="1"/>
  <c r="EZ11" i="1"/>
  <c r="EZ12" i="1"/>
  <c r="EZ13" i="1"/>
  <c r="EZ14" i="1"/>
  <c r="EZ15" i="1"/>
  <c r="EZ16" i="1"/>
  <c r="EZ17" i="1"/>
  <c r="EZ18" i="1"/>
  <c r="EZ90" i="1"/>
  <c r="EZ20" i="1"/>
  <c r="EZ21" i="1"/>
  <c r="EZ22" i="1"/>
  <c r="EZ23" i="1"/>
  <c r="EZ24" i="1"/>
  <c r="EZ25" i="1"/>
  <c r="EZ26" i="1"/>
  <c r="EZ27" i="1"/>
  <c r="EZ28" i="1"/>
  <c r="EZ29" i="1"/>
  <c r="EZ30" i="1"/>
  <c r="EZ31" i="1"/>
  <c r="EZ32" i="1"/>
  <c r="EZ33" i="1"/>
  <c r="EZ34" i="1"/>
  <c r="EZ35" i="1"/>
  <c r="EZ36" i="1"/>
  <c r="EZ37" i="1"/>
  <c r="EZ38" i="1"/>
  <c r="EZ39" i="1"/>
  <c r="EZ40" i="1"/>
  <c r="EZ41" i="1"/>
  <c r="EZ42" i="1"/>
  <c r="EZ43" i="1"/>
  <c r="EZ44" i="1"/>
  <c r="EZ45" i="1"/>
  <c r="EZ46" i="1"/>
  <c r="EZ47" i="1"/>
  <c r="EZ48" i="1"/>
  <c r="EZ49" i="1"/>
  <c r="EZ50" i="1"/>
  <c r="EZ51" i="1"/>
  <c r="EZ52" i="1"/>
  <c r="EZ53" i="1"/>
  <c r="EZ54" i="1"/>
  <c r="EZ55" i="1"/>
  <c r="EZ56" i="1"/>
  <c r="EZ57" i="1"/>
  <c r="EZ58" i="1"/>
  <c r="EZ59" i="1"/>
  <c r="EZ60" i="1"/>
  <c r="EZ61" i="1"/>
  <c r="EZ62" i="1"/>
  <c r="EZ63" i="1"/>
  <c r="EZ64" i="1"/>
  <c r="EZ65" i="1"/>
  <c r="EZ66" i="1"/>
  <c r="EZ121" i="1"/>
  <c r="EZ68" i="1"/>
  <c r="EZ69" i="1"/>
  <c r="EZ155" i="1"/>
  <c r="EZ71" i="1"/>
  <c r="EZ72" i="1"/>
  <c r="EZ73" i="1"/>
  <c r="EZ74" i="1"/>
  <c r="EZ75" i="1"/>
  <c r="EZ76" i="1"/>
  <c r="EZ77" i="1"/>
  <c r="EZ78" i="1"/>
  <c r="EZ79" i="1"/>
  <c r="EZ80" i="1"/>
  <c r="EZ81" i="1"/>
  <c r="EZ82" i="1"/>
  <c r="EZ83" i="1"/>
  <c r="EZ84" i="1"/>
  <c r="EZ85" i="1"/>
  <c r="EZ86" i="1"/>
  <c r="EZ87" i="1"/>
  <c r="EZ88" i="1"/>
  <c r="EZ114" i="1"/>
  <c r="EZ186" i="1"/>
  <c r="EZ91" i="1"/>
  <c r="EZ92" i="1"/>
  <c r="EZ93" i="1"/>
  <c r="EZ94" i="1"/>
  <c r="EZ95" i="1"/>
  <c r="EZ96" i="1"/>
  <c r="EZ97" i="1"/>
  <c r="EZ98" i="1"/>
  <c r="EZ99" i="1"/>
  <c r="EZ100" i="1"/>
  <c r="EZ101" i="1"/>
  <c r="EZ102" i="1"/>
  <c r="EZ103" i="1"/>
  <c r="EZ104" i="1"/>
  <c r="EZ105" i="1"/>
  <c r="EZ106" i="1"/>
  <c r="EZ107" i="1"/>
  <c r="EZ108" i="1"/>
  <c r="EZ109" i="1"/>
  <c r="EZ110" i="1"/>
  <c r="EZ111" i="1"/>
  <c r="EZ112" i="1"/>
  <c r="EZ113" i="1"/>
  <c r="EZ153" i="1"/>
  <c r="EZ115" i="1"/>
  <c r="EZ116" i="1"/>
  <c r="EZ117" i="1"/>
  <c r="EZ118" i="1"/>
  <c r="EZ119" i="1"/>
  <c r="EZ67" i="1"/>
  <c r="EZ70" i="1"/>
  <c r="EZ122" i="1"/>
  <c r="EZ123" i="1"/>
  <c r="EZ124" i="1"/>
  <c r="EZ125" i="1"/>
  <c r="EZ126" i="1"/>
  <c r="EZ127" i="1"/>
  <c r="EZ128" i="1"/>
  <c r="EZ129" i="1"/>
  <c r="EZ130" i="1"/>
  <c r="EZ131" i="1"/>
  <c r="EZ132" i="1"/>
  <c r="EZ133" i="1"/>
  <c r="EZ134" i="1"/>
  <c r="EZ135" i="1"/>
  <c r="EZ136" i="1"/>
  <c r="EZ137" i="1"/>
  <c r="EZ138" i="1"/>
  <c r="EZ139" i="1"/>
  <c r="EZ140" i="1"/>
  <c r="EZ141" i="1"/>
  <c r="EZ142" i="1"/>
  <c r="EZ143" i="1"/>
  <c r="EZ144" i="1"/>
  <c r="EZ145" i="1"/>
  <c r="EZ146" i="1"/>
  <c r="EZ147" i="1"/>
  <c r="EZ148" i="1"/>
  <c r="EZ149" i="1"/>
  <c r="EZ150" i="1"/>
  <c r="EZ151" i="1"/>
  <c r="EZ152" i="1"/>
  <c r="EZ120" i="1"/>
  <c r="EZ154" i="1"/>
  <c r="EZ89" i="1"/>
  <c r="EZ156" i="1"/>
  <c r="EZ157" i="1"/>
  <c r="EZ158" i="1"/>
  <c r="EZ159" i="1"/>
  <c r="EZ160" i="1"/>
  <c r="EZ161" i="1"/>
  <c r="EZ162" i="1"/>
  <c r="EZ163" i="1"/>
  <c r="EZ164" i="1"/>
  <c r="EZ165" i="1"/>
  <c r="EZ166" i="1"/>
  <c r="EZ167" i="1"/>
  <c r="EZ168" i="1"/>
  <c r="EZ169" i="1"/>
  <c r="EZ170" i="1"/>
  <c r="EZ171" i="1"/>
  <c r="EZ172" i="1"/>
  <c r="EZ173" i="1"/>
  <c r="EZ174" i="1"/>
  <c r="EZ175" i="1"/>
  <c r="EZ176" i="1"/>
  <c r="EZ177" i="1"/>
  <c r="EZ178" i="1"/>
  <c r="EZ179" i="1"/>
  <c r="EZ180" i="1"/>
  <c r="EZ181" i="1"/>
  <c r="EZ182" i="1"/>
  <c r="EZ183" i="1"/>
  <c r="EZ184" i="1"/>
  <c r="EZ185" i="1"/>
  <c r="EZ19" i="1"/>
  <c r="EZ187" i="1"/>
  <c r="EZ188" i="1"/>
  <c r="EZ189" i="1"/>
  <c r="EZ190" i="1"/>
  <c r="EZ191" i="1"/>
  <c r="EZ192" i="1"/>
  <c r="EZ193" i="1"/>
  <c r="EZ194" i="1"/>
  <c r="EZ195" i="1"/>
  <c r="EZ196" i="1"/>
  <c r="EZ197" i="1"/>
  <c r="EZ198" i="1"/>
  <c r="EZ199" i="1"/>
  <c r="EZ200" i="1"/>
  <c r="EZ201" i="1"/>
  <c r="EZ202" i="1"/>
  <c r="EZ203" i="1"/>
  <c r="EZ204" i="1"/>
  <c r="EZ205" i="1"/>
  <c r="EZ206" i="1"/>
  <c r="EZ207" i="1"/>
  <c r="EZ208" i="1"/>
  <c r="EZ209" i="1"/>
  <c r="EZ210" i="1"/>
  <c r="EZ211" i="1"/>
  <c r="EZ212" i="1"/>
  <c r="EZ213" i="1"/>
  <c r="EZ214" i="1"/>
  <c r="EZ215" i="1"/>
  <c r="EZ216" i="1"/>
  <c r="EZ217" i="1"/>
  <c r="EZ218" i="1"/>
  <c r="EZ219" i="1"/>
  <c r="EZ220" i="1"/>
  <c r="EZ221" i="1"/>
  <c r="EZ222" i="1"/>
  <c r="EZ223" i="1"/>
  <c r="EZ224" i="1"/>
  <c r="EZ225" i="1"/>
  <c r="EZ226" i="1"/>
  <c r="EZ227" i="1"/>
  <c r="EZ228" i="1"/>
  <c r="EZ229" i="1"/>
  <c r="EZ230" i="1"/>
  <c r="EZ231" i="1"/>
  <c r="EZ232" i="1"/>
  <c r="EZ233" i="1"/>
  <c r="EZ234" i="1"/>
  <c r="EZ235" i="1"/>
  <c r="EZ236" i="1"/>
  <c r="EZ237" i="1"/>
  <c r="EZ238" i="1"/>
  <c r="EZ239" i="1"/>
  <c r="EZ240" i="1"/>
  <c r="EZ241" i="1"/>
  <c r="EZ242" i="1"/>
  <c r="EZ243" i="1"/>
  <c r="EZ244" i="1"/>
  <c r="EZ245" i="1"/>
  <c r="EZ246" i="1"/>
  <c r="EZ247" i="1"/>
  <c r="EZ248" i="1"/>
  <c r="EZ249" i="1"/>
  <c r="EZ250" i="1"/>
  <c r="EZ251" i="1"/>
  <c r="EZ252" i="1"/>
  <c r="EZ253" i="1"/>
  <c r="EZ254" i="1"/>
  <c r="EZ255" i="1"/>
  <c r="EZ256" i="1"/>
  <c r="EZ257" i="1"/>
  <c r="EZ258" i="1"/>
  <c r="EZ259" i="1"/>
  <c r="EZ260" i="1"/>
  <c r="EZ261" i="1"/>
  <c r="EZ262" i="1"/>
  <c r="EZ263" i="1"/>
  <c r="EZ264" i="1"/>
  <c r="EZ265" i="1"/>
  <c r="EZ266" i="1"/>
  <c r="EZ267" i="1"/>
  <c r="EZ268" i="1"/>
  <c r="EZ269" i="1"/>
  <c r="EZ270" i="1"/>
  <c r="EZ271" i="1"/>
  <c r="EZ6" i="1"/>
  <c r="CE87" i="1" l="1"/>
  <c r="CE83" i="1"/>
  <c r="CE79" i="1"/>
  <c r="CE71" i="1"/>
  <c r="CE67" i="1"/>
  <c r="CE59" i="1"/>
  <c r="CE51" i="1"/>
  <c r="CE47" i="1"/>
  <c r="CE39" i="1"/>
  <c r="CE31" i="1"/>
  <c r="CE23" i="1"/>
  <c r="CE15" i="1"/>
  <c r="CE11" i="1"/>
  <c r="CE264" i="1"/>
  <c r="CE260" i="1"/>
  <c r="CE256" i="1"/>
  <c r="CE252" i="1"/>
  <c r="CE248" i="1"/>
  <c r="CE244" i="1"/>
  <c r="CE7" i="1"/>
  <c r="CE95" i="1"/>
  <c r="CG88" i="1"/>
  <c r="CG84" i="1"/>
  <c r="CG80" i="1"/>
  <c r="CG76" i="1"/>
  <c r="CG68" i="1"/>
  <c r="CG60" i="1"/>
  <c r="CG52" i="1"/>
  <c r="CG48" i="1"/>
  <c r="CG44" i="1"/>
  <c r="CG40" i="1"/>
  <c r="CG32" i="1"/>
  <c r="CG20" i="1"/>
  <c r="CG16" i="1"/>
  <c r="CG12" i="1"/>
  <c r="CE240" i="1"/>
  <c r="CE232" i="1"/>
  <c r="CE228" i="1"/>
  <c r="CE220" i="1"/>
  <c r="CE212" i="1"/>
  <c r="CE204" i="1"/>
  <c r="CE196" i="1"/>
  <c r="CE188" i="1"/>
  <c r="CE180" i="1"/>
  <c r="CG176" i="1"/>
  <c r="CG172" i="1"/>
  <c r="CG168" i="1"/>
  <c r="CG164" i="1"/>
  <c r="CG160" i="1"/>
  <c r="CG152" i="1"/>
  <c r="CG148" i="1"/>
  <c r="CG144" i="1"/>
  <c r="CG136" i="1"/>
  <c r="CG132" i="1"/>
  <c r="CG128" i="1"/>
  <c r="CG120" i="1"/>
  <c r="CG116" i="1"/>
  <c r="CG112" i="1"/>
  <c r="CG104" i="1"/>
  <c r="CG96" i="1"/>
  <c r="CG11" i="1"/>
  <c r="CG8" i="1"/>
  <c r="CG154" i="1"/>
  <c r="CG150" i="1"/>
  <c r="CG146" i="1"/>
  <c r="CG142" i="1"/>
  <c r="CG38" i="1"/>
  <c r="CG34" i="1"/>
  <c r="CG30" i="1"/>
  <c r="CG26" i="1"/>
  <c r="CM12" i="1"/>
  <c r="CM8" i="1"/>
  <c r="CM269" i="1"/>
  <c r="CG10" i="1"/>
  <c r="CG270" i="1"/>
  <c r="CG266" i="1"/>
  <c r="CG258" i="1"/>
  <c r="CG254" i="1"/>
  <c r="CG250" i="1"/>
  <c r="CG242" i="1"/>
  <c r="CG238" i="1"/>
  <c r="CG230" i="1"/>
  <c r="CG222" i="1"/>
  <c r="CG214" i="1"/>
  <c r="CG206" i="1"/>
  <c r="CG198" i="1"/>
  <c r="CG190" i="1"/>
  <c r="CG182" i="1"/>
  <c r="CG170" i="1"/>
  <c r="CG167" i="1"/>
  <c r="CG134" i="1"/>
  <c r="CG130" i="1"/>
  <c r="CG118" i="1"/>
  <c r="CG110" i="1"/>
  <c r="CG106" i="1"/>
  <c r="CG102" i="1"/>
  <c r="CG98" i="1"/>
  <c r="CG74" i="1"/>
  <c r="CG269" i="1"/>
  <c r="CG265" i="1"/>
  <c r="CG261" i="1"/>
  <c r="CG257" i="1"/>
  <c r="CG253" i="1"/>
  <c r="CG249" i="1"/>
  <c r="CG135" i="1"/>
  <c r="CG248" i="1"/>
  <c r="CG245" i="1"/>
  <c r="CG241" i="1"/>
  <c r="CG237" i="1"/>
  <c r="CG233" i="1"/>
  <c r="CG229" i="1"/>
  <c r="CG225" i="1"/>
  <c r="CG221" i="1"/>
  <c r="CG217" i="1"/>
  <c r="CG213" i="1"/>
  <c r="CG209" i="1"/>
  <c r="CG205" i="1"/>
  <c r="CG201" i="1"/>
  <c r="CG197" i="1"/>
  <c r="CG193" i="1"/>
  <c r="CG189" i="1"/>
  <c r="CG185" i="1"/>
  <c r="CG181" i="1"/>
  <c r="CG177" i="1"/>
  <c r="CG173" i="1"/>
  <c r="CG169" i="1"/>
  <c r="CG67" i="1"/>
  <c r="CG162" i="1"/>
  <c r="CG54" i="1"/>
  <c r="CG95" i="1"/>
  <c r="CG158" i="1"/>
  <c r="CG58" i="1"/>
  <c r="CG42" i="1"/>
  <c r="CG264" i="1"/>
  <c r="CG155" i="1"/>
  <c r="CG39" i="1"/>
  <c r="CE236" i="1"/>
  <c r="CG236" i="1"/>
  <c r="CE224" i="1"/>
  <c r="CG224" i="1"/>
  <c r="CE216" i="1"/>
  <c r="CG216" i="1"/>
  <c r="CE208" i="1"/>
  <c r="CG208" i="1"/>
  <c r="CE200" i="1"/>
  <c r="CG200" i="1"/>
  <c r="CE192" i="1"/>
  <c r="CG192" i="1"/>
  <c r="CE184" i="1"/>
  <c r="CG184" i="1"/>
  <c r="CE107" i="1"/>
  <c r="CG107" i="1"/>
  <c r="CE147" i="1"/>
  <c r="CG147" i="1"/>
  <c r="CG46" i="1"/>
  <c r="CE227" i="1"/>
  <c r="CG227" i="1"/>
  <c r="CE219" i="1"/>
  <c r="CG219" i="1"/>
  <c r="CE211" i="1"/>
  <c r="CG211" i="1"/>
  <c r="CE203" i="1"/>
  <c r="CG203" i="1"/>
  <c r="CE195" i="1"/>
  <c r="CG195" i="1"/>
  <c r="CE187" i="1"/>
  <c r="CG187" i="1"/>
  <c r="CE179" i="1"/>
  <c r="CG179" i="1"/>
  <c r="CE75" i="1"/>
  <c r="CG75" i="1"/>
  <c r="CE271" i="1"/>
  <c r="CG271" i="1"/>
  <c r="CE19" i="1"/>
  <c r="CG19" i="1"/>
  <c r="CM6" i="1"/>
  <c r="CM11" i="1"/>
  <c r="CM7" i="1"/>
  <c r="CM268" i="1"/>
  <c r="CM264" i="1"/>
  <c r="CM260" i="1"/>
  <c r="CE268" i="1"/>
  <c r="CG268" i="1"/>
  <c r="CE43" i="1"/>
  <c r="CG43" i="1"/>
  <c r="CG24" i="1"/>
  <c r="CE24" i="1"/>
  <c r="CG252" i="1"/>
  <c r="CG231" i="1"/>
  <c r="CG228" i="1"/>
  <c r="CG223" i="1"/>
  <c r="CG220" i="1"/>
  <c r="CG215" i="1"/>
  <c r="CG212" i="1"/>
  <c r="CG207" i="1"/>
  <c r="CG204" i="1"/>
  <c r="CG199" i="1"/>
  <c r="CG196" i="1"/>
  <c r="CG191" i="1"/>
  <c r="CG188" i="1"/>
  <c r="CG183" i="1"/>
  <c r="CG180" i="1"/>
  <c r="CG127" i="1"/>
  <c r="CG87" i="1"/>
  <c r="CG59" i="1"/>
  <c r="CM256" i="1"/>
  <c r="CM252" i="1"/>
  <c r="CM248" i="1"/>
  <c r="CM244" i="1"/>
  <c r="CM240" i="1"/>
  <c r="CM236" i="1"/>
  <c r="CM232" i="1"/>
  <c r="CM228" i="1"/>
  <c r="CM224" i="1"/>
  <c r="CM220" i="1"/>
  <c r="CM216" i="1"/>
  <c r="CM212" i="1"/>
  <c r="CM208" i="1"/>
  <c r="CM204" i="1"/>
  <c r="CM200" i="1"/>
  <c r="CM196" i="1"/>
  <c r="CM192" i="1"/>
  <c r="CM188" i="1"/>
  <c r="CM184" i="1"/>
  <c r="CM180" i="1"/>
  <c r="CE152" i="1"/>
  <c r="CG115" i="1"/>
  <c r="CG83" i="1"/>
  <c r="CG51" i="1"/>
  <c r="CG23" i="1"/>
  <c r="CM265" i="1"/>
  <c r="CM261" i="1"/>
  <c r="CM257" i="1"/>
  <c r="CM253" i="1"/>
  <c r="CM249" i="1"/>
  <c r="CM245" i="1"/>
  <c r="CM241" i="1"/>
  <c r="CM237" i="1"/>
  <c r="CM233" i="1"/>
  <c r="CM229" i="1"/>
  <c r="CM225" i="1"/>
  <c r="CM221" i="1"/>
  <c r="CM217" i="1"/>
  <c r="CM213" i="1"/>
  <c r="CM209" i="1"/>
  <c r="CM205" i="1"/>
  <c r="CM201" i="1"/>
  <c r="CM197" i="1"/>
  <c r="CM193" i="1"/>
  <c r="CM189" i="1"/>
  <c r="CM185" i="1"/>
  <c r="CM181" i="1"/>
  <c r="CM177" i="1"/>
  <c r="CM173" i="1"/>
  <c r="CM169" i="1"/>
  <c r="CM165" i="1"/>
  <c r="CM161" i="1"/>
  <c r="CM157" i="1"/>
  <c r="CM153" i="1"/>
  <c r="CM149" i="1"/>
  <c r="CM145" i="1"/>
  <c r="CM141" i="1"/>
  <c r="CM137" i="1"/>
  <c r="CM133" i="1"/>
  <c r="CM129" i="1"/>
  <c r="CM125" i="1"/>
  <c r="CM121" i="1"/>
  <c r="CM117" i="1"/>
  <c r="CM113" i="1"/>
  <c r="CM109" i="1"/>
  <c r="CM105" i="1"/>
  <c r="CM101" i="1"/>
  <c r="CM97" i="1"/>
  <c r="CM93" i="1"/>
  <c r="CM89" i="1"/>
  <c r="CM85" i="1"/>
  <c r="CM81" i="1"/>
  <c r="CM77" i="1"/>
  <c r="CM73" i="1"/>
  <c r="CM69" i="1"/>
  <c r="CM65" i="1"/>
  <c r="CM61" i="1"/>
  <c r="CM57" i="1"/>
  <c r="CM53" i="1"/>
  <c r="CM49" i="1"/>
  <c r="CM45" i="1"/>
  <c r="CM41" i="1"/>
  <c r="CM37" i="1"/>
  <c r="CM33" i="1"/>
  <c r="CM29" i="1"/>
  <c r="CM25" i="1"/>
  <c r="CM21" i="1"/>
  <c r="CM17" i="1"/>
  <c r="CM13" i="1"/>
  <c r="CG262" i="1"/>
  <c r="CG246" i="1"/>
  <c r="CG234" i="1"/>
  <c r="CG226" i="1"/>
  <c r="CG218" i="1"/>
  <c r="CG210" i="1"/>
  <c r="CG202" i="1"/>
  <c r="CG194" i="1"/>
  <c r="CG186" i="1"/>
  <c r="CG178" i="1"/>
  <c r="CG166" i="1"/>
  <c r="CG138" i="1"/>
  <c r="CG126" i="1"/>
  <c r="CG122" i="1"/>
  <c r="CG114" i="1"/>
  <c r="CG94" i="1"/>
  <c r="CG90" i="1"/>
  <c r="CG82" i="1"/>
  <c r="CG78" i="1"/>
  <c r="CG66" i="1"/>
  <c r="CG62" i="1"/>
  <c r="CG50" i="1"/>
  <c r="CG18" i="1"/>
  <c r="CG14" i="1"/>
  <c r="CE175" i="1"/>
  <c r="CE173" i="1"/>
  <c r="CE171" i="1"/>
  <c r="CE168" i="1"/>
  <c r="CG139" i="1"/>
  <c r="CG131" i="1"/>
  <c r="CE119" i="1"/>
  <c r="CE116" i="1"/>
  <c r="CE96" i="1"/>
  <c r="CE84" i="1"/>
  <c r="CE68" i="1"/>
  <c r="CE52" i="1"/>
  <c r="CM15" i="1"/>
  <c r="CG260" i="1"/>
  <c r="CG244" i="1"/>
  <c r="CG235" i="1"/>
  <c r="CG232" i="1"/>
  <c r="CE32" i="1"/>
  <c r="CM176" i="1"/>
  <c r="CM172" i="1"/>
  <c r="CM168" i="1"/>
  <c r="CM164" i="1"/>
  <c r="CM160" i="1"/>
  <c r="CM156" i="1"/>
  <c r="CM152" i="1"/>
  <c r="CM148" i="1"/>
  <c r="CM144" i="1"/>
  <c r="CM140" i="1"/>
  <c r="CM136" i="1"/>
  <c r="CM132" i="1"/>
  <c r="CM128" i="1"/>
  <c r="CM124" i="1"/>
  <c r="CM120" i="1"/>
  <c r="CM116" i="1"/>
  <c r="CM112" i="1"/>
  <c r="CM108" i="1"/>
  <c r="CM104" i="1"/>
  <c r="CM100" i="1"/>
  <c r="CM96" i="1"/>
  <c r="CM92" i="1"/>
  <c r="CM88" i="1"/>
  <c r="CM84" i="1"/>
  <c r="CM80" i="1"/>
  <c r="CM76" i="1"/>
  <c r="CM72" i="1"/>
  <c r="CM68" i="1"/>
  <c r="CM64" i="1"/>
  <c r="CM60" i="1"/>
  <c r="CM56" i="1"/>
  <c r="CM52" i="1"/>
  <c r="CM48" i="1"/>
  <c r="CM44" i="1"/>
  <c r="CM40" i="1"/>
  <c r="CM36" i="1"/>
  <c r="CM32" i="1"/>
  <c r="CM28" i="1"/>
  <c r="CM24" i="1"/>
  <c r="CM20" i="1"/>
  <c r="CM16" i="1"/>
  <c r="CG256" i="1"/>
  <c r="CG240" i="1"/>
  <c r="CG163" i="1"/>
  <c r="CG151" i="1"/>
  <c r="CE136" i="1"/>
  <c r="CG111" i="1"/>
  <c r="CE88" i="1"/>
  <c r="CE76" i="1"/>
  <c r="CE60" i="1"/>
  <c r="CG47" i="1"/>
  <c r="CG31" i="1"/>
  <c r="CE12" i="1"/>
  <c r="CG156" i="1"/>
  <c r="CE156" i="1"/>
  <c r="CG108" i="1"/>
  <c r="CE108" i="1"/>
  <c r="CG263" i="1"/>
  <c r="CG255" i="1"/>
  <c r="CG247" i="1"/>
  <c r="CG239" i="1"/>
  <c r="CE166" i="1"/>
  <c r="CG159" i="1"/>
  <c r="CE159" i="1"/>
  <c r="CG140" i="1"/>
  <c r="CE140" i="1"/>
  <c r="CG72" i="1"/>
  <c r="CE72" i="1"/>
  <c r="CM9" i="1"/>
  <c r="CM270" i="1"/>
  <c r="CM266" i="1"/>
  <c r="CM262" i="1"/>
  <c r="CM258" i="1"/>
  <c r="CM254" i="1"/>
  <c r="CM250" i="1"/>
  <c r="CM246" i="1"/>
  <c r="CM242" i="1"/>
  <c r="CM238" i="1"/>
  <c r="CM234" i="1"/>
  <c r="CM230" i="1"/>
  <c r="CM226" i="1"/>
  <c r="CM222" i="1"/>
  <c r="CM218" i="1"/>
  <c r="CM214" i="1"/>
  <c r="CM210" i="1"/>
  <c r="CM206" i="1"/>
  <c r="CM202" i="1"/>
  <c r="CM198" i="1"/>
  <c r="CM194" i="1"/>
  <c r="CM190" i="1"/>
  <c r="CM186" i="1"/>
  <c r="CM182" i="1"/>
  <c r="CM178" i="1"/>
  <c r="CM174" i="1"/>
  <c r="CM170" i="1"/>
  <c r="CM166" i="1"/>
  <c r="CM162" i="1"/>
  <c r="CM158" i="1"/>
  <c r="CM154" i="1"/>
  <c r="CM150" i="1"/>
  <c r="CM146" i="1"/>
  <c r="CM142" i="1"/>
  <c r="CM138" i="1"/>
  <c r="CM134" i="1"/>
  <c r="CM130" i="1"/>
  <c r="CM126" i="1"/>
  <c r="CM122" i="1"/>
  <c r="CM118" i="1"/>
  <c r="CM114" i="1"/>
  <c r="CM110" i="1"/>
  <c r="CM106" i="1"/>
  <c r="CM102" i="1"/>
  <c r="CM98" i="1"/>
  <c r="CM94" i="1"/>
  <c r="CM90" i="1"/>
  <c r="CE150" i="1"/>
  <c r="CG143" i="1"/>
  <c r="CE143" i="1"/>
  <c r="CE103" i="1"/>
  <c r="CG103" i="1"/>
  <c r="CE99" i="1"/>
  <c r="CG99" i="1"/>
  <c r="CE27" i="1"/>
  <c r="CG27" i="1"/>
  <c r="CM10" i="1"/>
  <c r="CM271" i="1"/>
  <c r="CM267" i="1"/>
  <c r="CM263" i="1"/>
  <c r="CM259" i="1"/>
  <c r="CM255" i="1"/>
  <c r="CM251" i="1"/>
  <c r="CM247" i="1"/>
  <c r="CM243" i="1"/>
  <c r="CM239" i="1"/>
  <c r="CM235" i="1"/>
  <c r="CM231" i="1"/>
  <c r="CM227" i="1"/>
  <c r="CM223" i="1"/>
  <c r="CM219" i="1"/>
  <c r="CM215" i="1"/>
  <c r="CM211" i="1"/>
  <c r="CM207" i="1"/>
  <c r="CM203" i="1"/>
  <c r="CM199" i="1"/>
  <c r="CM195" i="1"/>
  <c r="CM191" i="1"/>
  <c r="CM187" i="1"/>
  <c r="CM183" i="1"/>
  <c r="CM179" i="1"/>
  <c r="CM175" i="1"/>
  <c r="CM171" i="1"/>
  <c r="CM167" i="1"/>
  <c r="CM163" i="1"/>
  <c r="CM159" i="1"/>
  <c r="CM155" i="1"/>
  <c r="CM151" i="1"/>
  <c r="CM147" i="1"/>
  <c r="CM143" i="1"/>
  <c r="CM139" i="1"/>
  <c r="CM135" i="1"/>
  <c r="CM131" i="1"/>
  <c r="CM127" i="1"/>
  <c r="CM123" i="1"/>
  <c r="CM119" i="1"/>
  <c r="CM115" i="1"/>
  <c r="CM111" i="1"/>
  <c r="CM107" i="1"/>
  <c r="CM103" i="1"/>
  <c r="CM99" i="1"/>
  <c r="CM95" i="1"/>
  <c r="CM91" i="1"/>
  <c r="CM87" i="1"/>
  <c r="CM83" i="1"/>
  <c r="CM79" i="1"/>
  <c r="CM75" i="1"/>
  <c r="CM71" i="1"/>
  <c r="CM67" i="1"/>
  <c r="CM63" i="1"/>
  <c r="CM59" i="1"/>
  <c r="CM55" i="1"/>
  <c r="CM51" i="1"/>
  <c r="CM47" i="1"/>
  <c r="CM43" i="1"/>
  <c r="CM39" i="1"/>
  <c r="CM35" i="1"/>
  <c r="CM31" i="1"/>
  <c r="CM27" i="1"/>
  <c r="CM23" i="1"/>
  <c r="CM19" i="1"/>
  <c r="CG267" i="1"/>
  <c r="CG259" i="1"/>
  <c r="CG251" i="1"/>
  <c r="CG243" i="1"/>
  <c r="CE134" i="1"/>
  <c r="CG70" i="1"/>
  <c r="CG64" i="1"/>
  <c r="CE64" i="1"/>
  <c r="CE170" i="1"/>
  <c r="CE154" i="1"/>
  <c r="CE138" i="1"/>
  <c r="CG124" i="1"/>
  <c r="CE124" i="1"/>
  <c r="CE114" i="1"/>
  <c r="CE98" i="1"/>
  <c r="CG92" i="1"/>
  <c r="CE92" i="1"/>
  <c r="CG86" i="1"/>
  <c r="CE63" i="1"/>
  <c r="CG63" i="1"/>
  <c r="CG36" i="1"/>
  <c r="CE36" i="1"/>
  <c r="CM86" i="1"/>
  <c r="CM82" i="1"/>
  <c r="CM78" i="1"/>
  <c r="CM74" i="1"/>
  <c r="CM70" i="1"/>
  <c r="CM66" i="1"/>
  <c r="CM62" i="1"/>
  <c r="CM58" i="1"/>
  <c r="CM54" i="1"/>
  <c r="CM50" i="1"/>
  <c r="CM46" i="1"/>
  <c r="CM42" i="1"/>
  <c r="CM38" i="1"/>
  <c r="CM34" i="1"/>
  <c r="CM30" i="1"/>
  <c r="CM26" i="1"/>
  <c r="CM22" i="1"/>
  <c r="CM18" i="1"/>
  <c r="CM14" i="1"/>
  <c r="CE160" i="1"/>
  <c r="CE158" i="1"/>
  <c r="CE144" i="1"/>
  <c r="CE142" i="1"/>
  <c r="CE130" i="1"/>
  <c r="CE91" i="1"/>
  <c r="CG91" i="1"/>
  <c r="CE80" i="1"/>
  <c r="CG56" i="1"/>
  <c r="CE56" i="1"/>
  <c r="CE35" i="1"/>
  <c r="CG35" i="1"/>
  <c r="CE8" i="1"/>
  <c r="CE164" i="1"/>
  <c r="CE162" i="1"/>
  <c r="CE148" i="1"/>
  <c r="CE146" i="1"/>
  <c r="CE132" i="1"/>
  <c r="CE123" i="1"/>
  <c r="CE120" i="1"/>
  <c r="CE118" i="1"/>
  <c r="CG100" i="1"/>
  <c r="CE100" i="1"/>
  <c r="CE55" i="1"/>
  <c r="CG55" i="1"/>
  <c r="CE50" i="1"/>
  <c r="CE44" i="1"/>
  <c r="CE34" i="1"/>
  <c r="CG28" i="1"/>
  <c r="CE28" i="1"/>
  <c r="CG22" i="1"/>
  <c r="CE16" i="1"/>
  <c r="CE122" i="1"/>
  <c r="CE82" i="1"/>
  <c r="CG79" i="1"/>
  <c r="CG71" i="1"/>
  <c r="CE18" i="1"/>
  <c r="CG15" i="1"/>
  <c r="CG7" i="1"/>
  <c r="CE128" i="1"/>
  <c r="CE126" i="1"/>
  <c r="CE112" i="1"/>
  <c r="CE104" i="1"/>
  <c r="CE66" i="1"/>
  <c r="CE48" i="1"/>
  <c r="CE40" i="1"/>
  <c r="CE20" i="1"/>
  <c r="CE270" i="1"/>
  <c r="CE266" i="1"/>
  <c r="CE262" i="1"/>
  <c r="CE258" i="1"/>
  <c r="CE254" i="1"/>
  <c r="CE250" i="1"/>
  <c r="CE246" i="1"/>
  <c r="CE242" i="1"/>
  <c r="CE238" i="1"/>
  <c r="CE234" i="1"/>
  <c r="CE230" i="1"/>
  <c r="CE226" i="1"/>
  <c r="CE222" i="1"/>
  <c r="CE218" i="1"/>
  <c r="CE214" i="1"/>
  <c r="CE210" i="1"/>
  <c r="CE206" i="1"/>
  <c r="CE202" i="1"/>
  <c r="CE198" i="1"/>
  <c r="CE194" i="1"/>
  <c r="CE190" i="1"/>
  <c r="CE186" i="1"/>
  <c r="CE182" i="1"/>
  <c r="CE178" i="1"/>
  <c r="CE102" i="1"/>
  <c r="CE86" i="1"/>
  <c r="CE70" i="1"/>
  <c r="CE54" i="1"/>
  <c r="CE38" i="1"/>
  <c r="CE22" i="1"/>
  <c r="CE106" i="1"/>
  <c r="CE90" i="1"/>
  <c r="CE74" i="1"/>
  <c r="CE58" i="1"/>
  <c r="CE42" i="1"/>
  <c r="CE26" i="1"/>
  <c r="CE10" i="1"/>
  <c r="CE174" i="1"/>
  <c r="CE110" i="1"/>
  <c r="CE94" i="1"/>
  <c r="CE78" i="1"/>
  <c r="CE62" i="1"/>
  <c r="CE46" i="1"/>
  <c r="CE30" i="1"/>
  <c r="CE14" i="1"/>
  <c r="CG13" i="1"/>
  <c r="CE13" i="1"/>
  <c r="CE269" i="1"/>
  <c r="CE265" i="1"/>
  <c r="CE261" i="1"/>
  <c r="CE257" i="1"/>
  <c r="CE253" i="1"/>
  <c r="CE249" i="1"/>
  <c r="CE245" i="1"/>
  <c r="CE241" i="1"/>
  <c r="CE237" i="1"/>
  <c r="CE233" i="1"/>
  <c r="CE229" i="1"/>
  <c r="CE225" i="1"/>
  <c r="CE221" i="1"/>
  <c r="CE217" i="1"/>
  <c r="CE213" i="1"/>
  <c r="CE209" i="1"/>
  <c r="CE205" i="1"/>
  <c r="CE201" i="1"/>
  <c r="CE197" i="1"/>
  <c r="CE193" i="1"/>
  <c r="CE189" i="1"/>
  <c r="CE185" i="1"/>
  <c r="CE181" i="1"/>
  <c r="CE177" i="1"/>
  <c r="CE172" i="1"/>
  <c r="CE169" i="1"/>
  <c r="CG165" i="1"/>
  <c r="CE165" i="1"/>
  <c r="CG161" i="1"/>
  <c r="CE161" i="1"/>
  <c r="CG157" i="1"/>
  <c r="CE157" i="1"/>
  <c r="CG153" i="1"/>
  <c r="CE153" i="1"/>
  <c r="CG149" i="1"/>
  <c r="CE149" i="1"/>
  <c r="CG145" i="1"/>
  <c r="CE145" i="1"/>
  <c r="CG141" i="1"/>
  <c r="CE141" i="1"/>
  <c r="CG137" i="1"/>
  <c r="CE137" i="1"/>
  <c r="CG133" i="1"/>
  <c r="CE133" i="1"/>
  <c r="CG129" i="1"/>
  <c r="CE129" i="1"/>
  <c r="CG125" i="1"/>
  <c r="CE125" i="1"/>
  <c r="CG121" i="1"/>
  <c r="CE121" i="1"/>
  <c r="CG117" i="1"/>
  <c r="CE117" i="1"/>
  <c r="CG113" i="1"/>
  <c r="CE113" i="1"/>
  <c r="CG97" i="1"/>
  <c r="CE97" i="1"/>
  <c r="CG81" i="1"/>
  <c r="CE81" i="1"/>
  <c r="CG65" i="1"/>
  <c r="CE65" i="1"/>
  <c r="CG49" i="1"/>
  <c r="CE49" i="1"/>
  <c r="CG33" i="1"/>
  <c r="CE33" i="1"/>
  <c r="CG17" i="1"/>
  <c r="CE17" i="1"/>
  <c r="CG109" i="1"/>
  <c r="CE109" i="1"/>
  <c r="CG77" i="1"/>
  <c r="CE77" i="1"/>
  <c r="CG45" i="1"/>
  <c r="CE45" i="1"/>
  <c r="CG101" i="1"/>
  <c r="CE101" i="1"/>
  <c r="CG85" i="1"/>
  <c r="CE85" i="1"/>
  <c r="CG69" i="1"/>
  <c r="CE69" i="1"/>
  <c r="CG53" i="1"/>
  <c r="CE53" i="1"/>
  <c r="CG37" i="1"/>
  <c r="CE37" i="1"/>
  <c r="CG21" i="1"/>
  <c r="CE21" i="1"/>
  <c r="CG93" i="1"/>
  <c r="CE93" i="1"/>
  <c r="CG61" i="1"/>
  <c r="CE61" i="1"/>
  <c r="CG29" i="1"/>
  <c r="CE29" i="1"/>
  <c r="CE176" i="1"/>
  <c r="CG174" i="1"/>
  <c r="CG105" i="1"/>
  <c r="CE105" i="1"/>
  <c r="CG89" i="1"/>
  <c r="CE89" i="1"/>
  <c r="CG73" i="1"/>
  <c r="CE73" i="1"/>
  <c r="CG57" i="1"/>
  <c r="CE57" i="1"/>
  <c r="CG41" i="1"/>
  <c r="CE41" i="1"/>
  <c r="CG25" i="1"/>
  <c r="CE25" i="1"/>
  <c r="CG9" i="1"/>
  <c r="CE9" i="1"/>
  <c r="BW209" i="1"/>
  <c r="BW186" i="1"/>
  <c r="BW90" i="1"/>
  <c r="BW70" i="1"/>
  <c r="BW180" i="1"/>
  <c r="BW155" i="1"/>
  <c r="BW6" i="1"/>
  <c r="CE6" i="1"/>
  <c r="DU6" i="1" s="1"/>
  <c r="CG6" i="1"/>
  <c r="EL209" i="1"/>
  <c r="EN209" i="1" s="1"/>
  <c r="EP209" i="1" s="1"/>
  <c r="EL113" i="1"/>
  <c r="EN113" i="1" s="1"/>
  <c r="EP113" i="1" s="1"/>
  <c r="BN186" i="1" a="1"/>
  <c r="BN186" i="1" s="1"/>
  <c r="EL90" i="1"/>
  <c r="BO7" i="1" a="1"/>
  <c r="BO7" i="1" s="1"/>
  <c r="BO8" i="1" a="1"/>
  <c r="BO8" i="1" s="1"/>
  <c r="BO9" i="1" a="1"/>
  <c r="BO9" i="1" s="1"/>
  <c r="BO10" i="1" a="1"/>
  <c r="BO10" i="1" s="1"/>
  <c r="BO11" i="1" a="1"/>
  <c r="BO11" i="1" s="1"/>
  <c r="BO12" i="1" a="1"/>
  <c r="BO12" i="1" s="1"/>
  <c r="BO13" i="1" a="1"/>
  <c r="BO13" i="1" s="1"/>
  <c r="BO14" i="1" a="1"/>
  <c r="BO14" i="1" s="1"/>
  <c r="BO15" i="1" a="1"/>
  <c r="BO15" i="1" s="1"/>
  <c r="BO16" i="1" a="1"/>
  <c r="BO16" i="1" s="1"/>
  <c r="BO17" i="1" a="1"/>
  <c r="BO17" i="1" s="1"/>
  <c r="BO18" i="1" a="1"/>
  <c r="BO18" i="1" s="1"/>
  <c r="BO90" i="1" a="1"/>
  <c r="BO90"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0" i="1" a="1"/>
  <c r="BO30" i="1" s="1"/>
  <c r="BO31" i="1" a="1"/>
  <c r="BO31" i="1" s="1"/>
  <c r="BO32" i="1" a="1"/>
  <c r="BO32" i="1" s="1"/>
  <c r="BO33" i="1" a="1"/>
  <c r="BO33" i="1" s="1"/>
  <c r="BO34" i="1" a="1"/>
  <c r="BO34" i="1" s="1"/>
  <c r="BO35" i="1" a="1"/>
  <c r="BO35" i="1" s="1"/>
  <c r="BO36" i="1" a="1"/>
  <c r="BO36" i="1" s="1"/>
  <c r="BO37" i="1" a="1"/>
  <c r="BO37" i="1" s="1"/>
  <c r="BO38" i="1" a="1"/>
  <c r="BO38" i="1" s="1"/>
  <c r="BO39" i="1" a="1"/>
  <c r="BO39" i="1" s="1"/>
  <c r="BO40" i="1" a="1"/>
  <c r="BO40" i="1" s="1"/>
  <c r="BO41" i="1" a="1"/>
  <c r="BO41" i="1" s="1"/>
  <c r="BO42" i="1" a="1"/>
  <c r="BO42" i="1" s="1"/>
  <c r="BO43" i="1" a="1"/>
  <c r="BO43" i="1" s="1"/>
  <c r="BO44" i="1" a="1"/>
  <c r="BO44" i="1" s="1"/>
  <c r="BO45" i="1" a="1"/>
  <c r="BO45" i="1" s="1"/>
  <c r="BO46" i="1" a="1"/>
  <c r="BO46" i="1" s="1"/>
  <c r="BO47" i="1" a="1"/>
  <c r="BO47" i="1" s="1"/>
  <c r="BO48" i="1" a="1"/>
  <c r="BO48" i="1" s="1"/>
  <c r="BO49" i="1" a="1"/>
  <c r="BO49" i="1" s="1"/>
  <c r="BO50" i="1" a="1"/>
  <c r="BO50" i="1" s="1"/>
  <c r="BO51" i="1" a="1"/>
  <c r="BO51" i="1" s="1"/>
  <c r="BO52" i="1" a="1"/>
  <c r="BO52" i="1" s="1"/>
  <c r="BO53" i="1" a="1"/>
  <c r="BO53" i="1" s="1"/>
  <c r="BO54" i="1" a="1"/>
  <c r="BO54" i="1" s="1"/>
  <c r="BO55" i="1" a="1"/>
  <c r="BO55" i="1" s="1"/>
  <c r="BO56" i="1" a="1"/>
  <c r="BO56" i="1" s="1"/>
  <c r="BO57" i="1" a="1"/>
  <c r="BO57" i="1" s="1"/>
  <c r="BO58" i="1" a="1"/>
  <c r="BO58" i="1" s="1"/>
  <c r="BO59" i="1" a="1"/>
  <c r="BO59" i="1" s="1"/>
  <c r="BO60" i="1" a="1"/>
  <c r="BO60" i="1" s="1"/>
  <c r="BO61" i="1" a="1"/>
  <c r="BO61" i="1" s="1"/>
  <c r="BO62" i="1" a="1"/>
  <c r="BO62" i="1" s="1"/>
  <c r="BO63" i="1" a="1"/>
  <c r="BO63" i="1" s="1"/>
  <c r="BO64" i="1" a="1"/>
  <c r="BO64" i="1" s="1"/>
  <c r="BO65" i="1" a="1"/>
  <c r="BO65" i="1" s="1"/>
  <c r="BO66" i="1" a="1"/>
  <c r="BO66" i="1" s="1"/>
  <c r="BO121" i="1" a="1"/>
  <c r="BO121" i="1" s="1"/>
  <c r="BO68" i="1" a="1"/>
  <c r="BO68" i="1" s="1"/>
  <c r="BO69" i="1" a="1"/>
  <c r="BO69" i="1" s="1"/>
  <c r="BO155" i="1" a="1"/>
  <c r="BO155" i="1" s="1"/>
  <c r="BO71" i="1" a="1"/>
  <c r="BO71" i="1" s="1"/>
  <c r="BO72" i="1" a="1"/>
  <c r="BO72" i="1" s="1"/>
  <c r="BO73" i="1" a="1"/>
  <c r="BO73" i="1" s="1"/>
  <c r="BO74" i="1" a="1"/>
  <c r="BO74" i="1" s="1"/>
  <c r="BO75" i="1" a="1"/>
  <c r="BO75" i="1" s="1"/>
  <c r="BO76" i="1" a="1"/>
  <c r="BO76" i="1" s="1"/>
  <c r="BO77" i="1" a="1"/>
  <c r="BO77" i="1" s="1"/>
  <c r="BO78" i="1" a="1"/>
  <c r="BO78" i="1" s="1"/>
  <c r="BO79" i="1" a="1"/>
  <c r="BO79" i="1" s="1"/>
  <c r="BO80" i="1" a="1"/>
  <c r="BO80" i="1" s="1"/>
  <c r="BO81" i="1" a="1"/>
  <c r="BO81" i="1" s="1"/>
  <c r="BO82" i="1" a="1"/>
  <c r="BO82" i="1" s="1"/>
  <c r="BO83" i="1" a="1"/>
  <c r="BO83" i="1" s="1"/>
  <c r="BO84" i="1" a="1"/>
  <c r="BO84" i="1" s="1"/>
  <c r="BO85" i="1" a="1"/>
  <c r="BO85" i="1" s="1"/>
  <c r="BO86" i="1" a="1"/>
  <c r="BO86" i="1" s="1"/>
  <c r="BO87" i="1" a="1"/>
  <c r="BO87" i="1" s="1"/>
  <c r="BO88" i="1" a="1"/>
  <c r="BO88" i="1" s="1"/>
  <c r="BO114" i="1" a="1"/>
  <c r="BO114" i="1" s="1"/>
  <c r="BO186" i="1" a="1"/>
  <c r="BO186" i="1" s="1"/>
  <c r="BO91" i="1" a="1"/>
  <c r="BO91" i="1" s="1"/>
  <c r="BO92" i="1" a="1"/>
  <c r="BO92" i="1" s="1"/>
  <c r="BO93" i="1" a="1"/>
  <c r="BO93" i="1" s="1"/>
  <c r="BO94" i="1" a="1"/>
  <c r="BO94" i="1" s="1"/>
  <c r="BO95" i="1" a="1"/>
  <c r="BO95" i="1" s="1"/>
  <c r="BO96" i="1" a="1"/>
  <c r="BO96" i="1" s="1"/>
  <c r="BO97" i="1" a="1"/>
  <c r="BO97" i="1" s="1"/>
  <c r="BO98" i="1" a="1"/>
  <c r="BO98" i="1" s="1"/>
  <c r="BO99" i="1" a="1"/>
  <c r="BO99" i="1" s="1"/>
  <c r="BO100" i="1" a="1"/>
  <c r="BO100" i="1" s="1"/>
  <c r="BO101" i="1" a="1"/>
  <c r="BO101" i="1" s="1"/>
  <c r="BO102" i="1" a="1"/>
  <c r="BO102" i="1" s="1"/>
  <c r="BO103" i="1" a="1"/>
  <c r="BO103" i="1" s="1"/>
  <c r="BO104" i="1" a="1"/>
  <c r="BO104" i="1" s="1"/>
  <c r="BO105" i="1" a="1"/>
  <c r="BO105" i="1" s="1"/>
  <c r="BO106" i="1" a="1"/>
  <c r="BO106" i="1" s="1"/>
  <c r="BO107" i="1" a="1"/>
  <c r="BO107" i="1" s="1"/>
  <c r="BO108" i="1" a="1"/>
  <c r="BO108" i="1" s="1"/>
  <c r="BO109" i="1" a="1"/>
  <c r="BO109" i="1" s="1"/>
  <c r="BO110" i="1" a="1"/>
  <c r="BO110" i="1" s="1"/>
  <c r="BO111" i="1" a="1"/>
  <c r="BO111" i="1" s="1"/>
  <c r="BO112" i="1" a="1"/>
  <c r="BO112" i="1" s="1"/>
  <c r="BO113" i="1" a="1"/>
  <c r="BO113" i="1" s="1"/>
  <c r="BO153" i="1" a="1"/>
  <c r="BO153" i="1" s="1"/>
  <c r="BO115" i="1" a="1"/>
  <c r="BO115" i="1" s="1"/>
  <c r="BO116" i="1" a="1"/>
  <c r="BO116" i="1" s="1"/>
  <c r="BO117" i="1" a="1"/>
  <c r="BO117" i="1" s="1"/>
  <c r="BO118" i="1" a="1"/>
  <c r="BO118" i="1" s="1"/>
  <c r="BO119" i="1" a="1"/>
  <c r="BO119" i="1" s="1"/>
  <c r="BO67" i="1" a="1"/>
  <c r="BO67" i="1" s="1"/>
  <c r="BO70" i="1" a="1"/>
  <c r="BO70" i="1" s="1"/>
  <c r="BO122" i="1" a="1"/>
  <c r="BO122" i="1" s="1"/>
  <c r="BO123" i="1" a="1"/>
  <c r="BO123" i="1" s="1"/>
  <c r="BO124" i="1" a="1"/>
  <c r="BO124" i="1" s="1"/>
  <c r="BO125" i="1" a="1"/>
  <c r="BO125" i="1" s="1"/>
  <c r="BO126" i="1" a="1"/>
  <c r="BO126" i="1" s="1"/>
  <c r="BO127" i="1" a="1"/>
  <c r="BO127" i="1" s="1"/>
  <c r="BO128" i="1" a="1"/>
  <c r="BO128" i="1" s="1"/>
  <c r="BO129" i="1" a="1"/>
  <c r="BO129" i="1" s="1"/>
  <c r="BO130" i="1" a="1"/>
  <c r="BO130" i="1" s="1"/>
  <c r="BO131" i="1" a="1"/>
  <c r="BO131" i="1" s="1"/>
  <c r="BO132" i="1" a="1"/>
  <c r="BO132" i="1" s="1"/>
  <c r="BO133" i="1" a="1"/>
  <c r="BO133" i="1" s="1"/>
  <c r="BO134" i="1" a="1"/>
  <c r="BO134" i="1" s="1"/>
  <c r="BO135" i="1" a="1"/>
  <c r="BO135" i="1" s="1"/>
  <c r="BO136" i="1" a="1"/>
  <c r="BO136" i="1" s="1"/>
  <c r="BO137" i="1" a="1"/>
  <c r="BO137" i="1" s="1"/>
  <c r="BO138" i="1" a="1"/>
  <c r="BO138" i="1" s="1"/>
  <c r="BO139" i="1" a="1"/>
  <c r="BO139" i="1" s="1"/>
  <c r="BO140" i="1" a="1"/>
  <c r="BO140" i="1" s="1"/>
  <c r="BO141" i="1" a="1"/>
  <c r="BO141" i="1" s="1"/>
  <c r="BO142" i="1" a="1"/>
  <c r="BO142" i="1" s="1"/>
  <c r="BO143" i="1" a="1"/>
  <c r="BO143" i="1" s="1"/>
  <c r="BO144" i="1" a="1"/>
  <c r="BO144" i="1" s="1"/>
  <c r="BO145" i="1" a="1"/>
  <c r="BO145" i="1" s="1"/>
  <c r="BO146" i="1" a="1"/>
  <c r="BO146" i="1" s="1"/>
  <c r="BO147" i="1" a="1"/>
  <c r="BO147" i="1" s="1"/>
  <c r="BO148" i="1" a="1"/>
  <c r="BO148" i="1" s="1"/>
  <c r="BO149" i="1" a="1"/>
  <c r="BO149" i="1" s="1"/>
  <c r="BO150" i="1" a="1"/>
  <c r="BO150" i="1" s="1"/>
  <c r="BO151" i="1" a="1"/>
  <c r="BO151" i="1" s="1"/>
  <c r="BO152" i="1" a="1"/>
  <c r="BO152" i="1" s="1"/>
  <c r="BO120" i="1" a="1"/>
  <c r="BO120" i="1" s="1"/>
  <c r="BO154" i="1" a="1"/>
  <c r="BO154" i="1" s="1"/>
  <c r="BO89" i="1" a="1"/>
  <c r="BO89" i="1" s="1"/>
  <c r="BO156" i="1" a="1"/>
  <c r="BO156" i="1" s="1"/>
  <c r="BO157" i="1" a="1"/>
  <c r="BO157" i="1" s="1"/>
  <c r="BO158" i="1" a="1"/>
  <c r="BO158" i="1" s="1"/>
  <c r="BO159" i="1" a="1"/>
  <c r="BO159" i="1" s="1"/>
  <c r="BO160" i="1" a="1"/>
  <c r="BO160" i="1" s="1"/>
  <c r="BO161" i="1" a="1"/>
  <c r="BO161" i="1" s="1"/>
  <c r="BO162" i="1" a="1"/>
  <c r="BO162" i="1" s="1"/>
  <c r="BO163" i="1" a="1"/>
  <c r="BO163" i="1" s="1"/>
  <c r="BO164" i="1" a="1"/>
  <c r="BO164" i="1" s="1"/>
  <c r="BO165" i="1" a="1"/>
  <c r="BO165" i="1" s="1"/>
  <c r="BO166" i="1" a="1"/>
  <c r="BO166" i="1" s="1"/>
  <c r="BO167" i="1" a="1"/>
  <c r="BO167" i="1" s="1"/>
  <c r="BO168" i="1" a="1"/>
  <c r="BO168" i="1" s="1"/>
  <c r="BO169" i="1" a="1"/>
  <c r="BO169" i="1" s="1"/>
  <c r="BO170" i="1" a="1"/>
  <c r="BO170" i="1" s="1"/>
  <c r="BO171" i="1" a="1"/>
  <c r="BO171" i="1" s="1"/>
  <c r="BO172" i="1" a="1"/>
  <c r="BO172" i="1" s="1"/>
  <c r="BO173" i="1" a="1"/>
  <c r="BO173" i="1" s="1"/>
  <c r="BO174" i="1" a="1"/>
  <c r="BO174" i="1" s="1"/>
  <c r="BO175" i="1" a="1"/>
  <c r="BO175" i="1" s="1"/>
  <c r="BO176" i="1" a="1"/>
  <c r="BO176" i="1" s="1"/>
  <c r="BO177" i="1" a="1"/>
  <c r="BO177" i="1" s="1"/>
  <c r="BO178" i="1" a="1"/>
  <c r="BO178" i="1" s="1"/>
  <c r="BO179" i="1" a="1"/>
  <c r="BO179" i="1" s="1"/>
  <c r="BO180" i="1" a="1"/>
  <c r="BO180" i="1" s="1"/>
  <c r="BO181" i="1" a="1"/>
  <c r="BO181" i="1" s="1"/>
  <c r="BO182" i="1" a="1"/>
  <c r="BO182" i="1" s="1"/>
  <c r="BO183" i="1" a="1"/>
  <c r="BO183" i="1" s="1"/>
  <c r="BO184" i="1" a="1"/>
  <c r="BO184" i="1" s="1"/>
  <c r="BO185" i="1" a="1"/>
  <c r="BO185" i="1" s="1"/>
  <c r="BO19" i="1" a="1"/>
  <c r="BO19" i="1" s="1"/>
  <c r="BO187" i="1" a="1"/>
  <c r="BO187" i="1" s="1"/>
  <c r="BO188" i="1" a="1"/>
  <c r="BO188" i="1" s="1"/>
  <c r="BO189" i="1" a="1"/>
  <c r="BO189" i="1" s="1"/>
  <c r="BO190" i="1" a="1"/>
  <c r="BO190" i="1" s="1"/>
  <c r="BO191" i="1" a="1"/>
  <c r="BO191" i="1" s="1"/>
  <c r="BO192" i="1" a="1"/>
  <c r="BO192" i="1" s="1"/>
  <c r="BO193" i="1" a="1"/>
  <c r="BO193" i="1" s="1"/>
  <c r="BO194" i="1" a="1"/>
  <c r="BO194" i="1" s="1"/>
  <c r="BO195" i="1" a="1"/>
  <c r="BO195" i="1" s="1"/>
  <c r="BO196" i="1" a="1"/>
  <c r="BO196" i="1" s="1"/>
  <c r="BO197" i="1" a="1"/>
  <c r="BO197" i="1" s="1"/>
  <c r="BO198" i="1" a="1"/>
  <c r="BO198" i="1" s="1"/>
  <c r="BO199" i="1" a="1"/>
  <c r="BO199" i="1" s="1"/>
  <c r="BO200" i="1" a="1"/>
  <c r="BO200" i="1" s="1"/>
  <c r="BO201" i="1" a="1"/>
  <c r="BO201" i="1" s="1"/>
  <c r="BO202" i="1" a="1"/>
  <c r="BO202" i="1" s="1"/>
  <c r="BO203" i="1" a="1"/>
  <c r="BO203" i="1" s="1"/>
  <c r="BO204" i="1" a="1"/>
  <c r="BO204" i="1" s="1"/>
  <c r="BO205" i="1" a="1"/>
  <c r="BO205" i="1" s="1"/>
  <c r="BO206" i="1" a="1"/>
  <c r="BO206" i="1" s="1"/>
  <c r="BO207" i="1" a="1"/>
  <c r="BO207" i="1" s="1"/>
  <c r="BO208" i="1" a="1"/>
  <c r="BO208" i="1" s="1"/>
  <c r="BO209" i="1" a="1"/>
  <c r="BO209" i="1" s="1"/>
  <c r="BO210" i="1" a="1"/>
  <c r="BO210" i="1" s="1"/>
  <c r="BO211" i="1" a="1"/>
  <c r="BO211" i="1" s="1"/>
  <c r="BO212" i="1" a="1"/>
  <c r="BO212" i="1" s="1"/>
  <c r="BO213" i="1" a="1"/>
  <c r="BO213" i="1" s="1"/>
  <c r="BO214" i="1" a="1"/>
  <c r="BO214" i="1" s="1"/>
  <c r="BO215" i="1" a="1"/>
  <c r="BO215" i="1" s="1"/>
  <c r="BO216" i="1" a="1"/>
  <c r="BO216" i="1" s="1"/>
  <c r="BO217" i="1" a="1"/>
  <c r="BO217" i="1" s="1"/>
  <c r="BO218" i="1" a="1"/>
  <c r="BO218" i="1" s="1"/>
  <c r="BO219" i="1" a="1"/>
  <c r="BO219" i="1" s="1"/>
  <c r="BO220" i="1" a="1"/>
  <c r="BO220" i="1" s="1"/>
  <c r="BO221" i="1" a="1"/>
  <c r="BO221" i="1" s="1"/>
  <c r="BO222" i="1" a="1"/>
  <c r="BO222" i="1" s="1"/>
  <c r="BO223" i="1" a="1"/>
  <c r="BO223" i="1" s="1"/>
  <c r="BO224" i="1" a="1"/>
  <c r="BO224" i="1" s="1"/>
  <c r="BO225" i="1" a="1"/>
  <c r="BO225" i="1" s="1"/>
  <c r="BO226" i="1" a="1"/>
  <c r="BO226" i="1" s="1"/>
  <c r="BO227" i="1" a="1"/>
  <c r="BO227" i="1" s="1"/>
  <c r="BO228" i="1" a="1"/>
  <c r="BO228" i="1" s="1"/>
  <c r="BO229" i="1" a="1"/>
  <c r="BO229" i="1" s="1"/>
  <c r="BO230" i="1" a="1"/>
  <c r="BO230" i="1" s="1"/>
  <c r="BO231" i="1" a="1"/>
  <c r="BO231" i="1" s="1"/>
  <c r="BO232" i="1" a="1"/>
  <c r="BO232" i="1" s="1"/>
  <c r="BO233" i="1" a="1"/>
  <c r="BO233" i="1" s="1"/>
  <c r="BO234" i="1" a="1"/>
  <c r="BO234" i="1" s="1"/>
  <c r="BO235" i="1" a="1"/>
  <c r="BO235" i="1" s="1"/>
  <c r="BO236" i="1" a="1"/>
  <c r="BO236" i="1" s="1"/>
  <c r="BO237" i="1" a="1"/>
  <c r="BO237" i="1" s="1"/>
  <c r="BO238" i="1" a="1"/>
  <c r="BO238" i="1" s="1"/>
  <c r="BO239" i="1" a="1"/>
  <c r="BO239" i="1" s="1"/>
  <c r="BO240" i="1" a="1"/>
  <c r="BO240" i="1" s="1"/>
  <c r="BO241" i="1" a="1"/>
  <c r="BO241" i="1" s="1"/>
  <c r="BO242" i="1" a="1"/>
  <c r="BO242" i="1" s="1"/>
  <c r="BO243" i="1" a="1"/>
  <c r="BO243" i="1" s="1"/>
  <c r="BO244" i="1" a="1"/>
  <c r="BO244" i="1" s="1"/>
  <c r="BO245" i="1" a="1"/>
  <c r="BO245" i="1" s="1"/>
  <c r="BO246" i="1" a="1"/>
  <c r="BO246" i="1" s="1"/>
  <c r="BO247" i="1" a="1"/>
  <c r="BO247" i="1" s="1"/>
  <c r="BO248" i="1" a="1"/>
  <c r="BO248" i="1" s="1"/>
  <c r="BO249" i="1" a="1"/>
  <c r="BO249" i="1" s="1"/>
  <c r="BO250" i="1" a="1"/>
  <c r="BO250" i="1" s="1"/>
  <c r="BO251" i="1" a="1"/>
  <c r="BO251" i="1" s="1"/>
  <c r="BO252" i="1" a="1"/>
  <c r="BO252" i="1" s="1"/>
  <c r="BO253" i="1" a="1"/>
  <c r="BO253" i="1" s="1"/>
  <c r="BO254" i="1" a="1"/>
  <c r="BO254" i="1" s="1"/>
  <c r="BO255" i="1" a="1"/>
  <c r="BO255" i="1" s="1"/>
  <c r="BO256" i="1" a="1"/>
  <c r="BO256" i="1" s="1"/>
  <c r="BO257" i="1" a="1"/>
  <c r="BO257" i="1" s="1"/>
  <c r="BO258" i="1" a="1"/>
  <c r="BO258" i="1" s="1"/>
  <c r="BO259" i="1" a="1"/>
  <c r="BO259" i="1" s="1"/>
  <c r="BO260" i="1" a="1"/>
  <c r="BO260" i="1" s="1"/>
  <c r="BO261" i="1" a="1"/>
  <c r="BO261" i="1" s="1"/>
  <c r="BO262" i="1" a="1"/>
  <c r="BO262" i="1" s="1"/>
  <c r="BO263" i="1" a="1"/>
  <c r="BO263" i="1" s="1"/>
  <c r="BO264" i="1" a="1"/>
  <c r="BO264" i="1" s="1"/>
  <c r="BO265" i="1" a="1"/>
  <c r="BO265" i="1" s="1"/>
  <c r="BO266" i="1" a="1"/>
  <c r="BO266" i="1" s="1"/>
  <c r="BO267" i="1" a="1"/>
  <c r="BO267" i="1" s="1"/>
  <c r="BO268" i="1" a="1"/>
  <c r="BO268" i="1" s="1"/>
  <c r="BO269" i="1" a="1"/>
  <c r="BO269" i="1" s="1"/>
  <c r="BO270" i="1" a="1"/>
  <c r="BO270" i="1" s="1"/>
  <c r="BO271" i="1" a="1"/>
  <c r="BO271" i="1" s="1"/>
  <c r="BO6" i="1" a="1"/>
  <c r="BO6" i="1" s="1"/>
  <c r="BJ238" i="1" a="1"/>
  <c r="BJ238" i="1" s="1"/>
  <c r="BY238" i="1" s="1"/>
  <c r="BJ8" i="1" a="1"/>
  <c r="BJ8" i="1" s="1"/>
  <c r="BY8" i="1" s="1"/>
  <c r="BJ245" i="1" a="1"/>
  <c r="BJ245" i="1" s="1"/>
  <c r="BY245" i="1" s="1"/>
  <c r="BJ121" i="1" a="1"/>
  <c r="BJ121" i="1" s="1"/>
  <c r="BY121" i="1" s="1"/>
  <c r="BJ14" i="1" a="1"/>
  <c r="BJ14" i="1" s="1"/>
  <c r="BY14" i="1" s="1"/>
  <c r="EL6" i="1"/>
  <c r="EN6" i="1" s="1"/>
  <c r="EP6" i="1" s="1"/>
  <c r="BJ7" i="1" a="1"/>
  <c r="BJ7" i="1" s="1"/>
  <c r="BY7" i="1" s="1"/>
  <c r="BJ22" i="1" a="1"/>
  <c r="BJ22" i="1" s="1"/>
  <c r="BY22" i="1" s="1"/>
  <c r="BP6" i="1" a="1"/>
  <c r="BP6" i="1" s="1"/>
  <c r="BP7" i="1" a="1"/>
  <c r="BP7" i="1" s="1"/>
  <c r="BP8" i="1" a="1"/>
  <c r="BP8" i="1" s="1"/>
  <c r="BP9" i="1" a="1"/>
  <c r="BP9" i="1" s="1"/>
  <c r="BP10" i="1" a="1"/>
  <c r="BP10" i="1" s="1"/>
  <c r="BP11" i="1" a="1"/>
  <c r="BP11" i="1" s="1"/>
  <c r="BP12" i="1" a="1"/>
  <c r="BP12" i="1" s="1"/>
  <c r="BP13" i="1" a="1"/>
  <c r="BP13" i="1" s="1"/>
  <c r="BP186" i="1" a="1"/>
  <c r="BP186" i="1" s="1"/>
  <c r="BP15" i="1" a="1"/>
  <c r="BP15" i="1" s="1"/>
  <c r="BP16" i="1" a="1"/>
  <c r="BP16" i="1" s="1"/>
  <c r="BP17" i="1" a="1"/>
  <c r="BP17" i="1" s="1"/>
  <c r="BP18" i="1" a="1"/>
  <c r="BP18" i="1" s="1"/>
  <c r="BP90" i="1" a="1"/>
  <c r="BP90"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209" i="1" a="1"/>
  <c r="BP209"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127" i="1" a="1"/>
  <c r="BP127" i="1" s="1"/>
  <c r="BP66" i="1" a="1"/>
  <c r="BP66" i="1" s="1"/>
  <c r="BP121" i="1" a="1"/>
  <c r="BP121" i="1" s="1"/>
  <c r="BP68" i="1" a="1"/>
  <c r="BP68" i="1" s="1"/>
  <c r="BP69" i="1" a="1"/>
  <c r="BP69" i="1" s="1"/>
  <c r="BP184" i="1" a="1"/>
  <c r="BP184"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124" i="1" a="1"/>
  <c r="BP124" i="1" s="1"/>
  <c r="BP163" i="1" a="1"/>
  <c r="BP163" i="1" s="1"/>
  <c r="BP91" i="1" a="1"/>
  <c r="BP91" i="1" s="1"/>
  <c r="BP180" i="1" a="1"/>
  <c r="BP180"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89" i="1" a="1"/>
  <c r="BP89" i="1" s="1"/>
  <c r="BP115" i="1" a="1"/>
  <c r="BP115" i="1" s="1"/>
  <c r="BP116" i="1" a="1"/>
  <c r="BP116" i="1" s="1"/>
  <c r="BP117" i="1" a="1"/>
  <c r="BP117" i="1" s="1"/>
  <c r="BP118" i="1" a="1"/>
  <c r="BP118" i="1" s="1"/>
  <c r="BP119" i="1" a="1"/>
  <c r="BP119" i="1" s="1"/>
  <c r="BP67" i="1" a="1"/>
  <c r="BP67" i="1" s="1"/>
  <c r="BP70" i="1" a="1"/>
  <c r="BP70" i="1" s="1"/>
  <c r="BP122" i="1" a="1"/>
  <c r="BP122" i="1" s="1"/>
  <c r="BP123" i="1" a="1"/>
  <c r="BP123" i="1" s="1"/>
  <c r="BP153" i="1" a="1"/>
  <c r="BP153" i="1" s="1"/>
  <c r="BP125" i="1" a="1"/>
  <c r="BP125" i="1" s="1"/>
  <c r="BP126" i="1" a="1"/>
  <c r="BP126" i="1" s="1"/>
  <c r="BP14" i="1" a="1"/>
  <c r="BP14"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20" i="1" a="1"/>
  <c r="BP120" i="1" s="1"/>
  <c r="BP154" i="1" a="1"/>
  <c r="BP154" i="1" s="1"/>
  <c r="BP92" i="1" a="1"/>
  <c r="BP92" i="1" s="1"/>
  <c r="BP156" i="1" a="1"/>
  <c r="BP156" i="1" s="1"/>
  <c r="BP157" i="1" a="1"/>
  <c r="BP157" i="1" s="1"/>
  <c r="BP158" i="1" a="1"/>
  <c r="BP158" i="1" s="1"/>
  <c r="BP159" i="1" a="1"/>
  <c r="BP159" i="1" s="1"/>
  <c r="BP160" i="1" a="1"/>
  <c r="BP160" i="1" s="1"/>
  <c r="BP161" i="1" a="1"/>
  <c r="BP161" i="1" s="1"/>
  <c r="BP162" i="1" a="1"/>
  <c r="BP162" i="1" s="1"/>
  <c r="BP65" i="1" a="1"/>
  <c r="BP65"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55" i="1" a="1"/>
  <c r="BP155" i="1" s="1"/>
  <c r="BP181" i="1" a="1"/>
  <c r="BP181" i="1" s="1"/>
  <c r="BP182" i="1" a="1"/>
  <c r="BP182" i="1" s="1"/>
  <c r="BP183" i="1" a="1"/>
  <c r="BP183" i="1" s="1"/>
  <c r="BP191" i="1" a="1"/>
  <c r="BP191" i="1" s="1"/>
  <c r="BP185" i="1" a="1"/>
  <c r="BP185" i="1" s="1"/>
  <c r="BP19" i="1" a="1"/>
  <c r="BP19" i="1" s="1"/>
  <c r="BP187" i="1" a="1"/>
  <c r="BP187" i="1" s="1"/>
  <c r="BP188" i="1" a="1"/>
  <c r="BP188" i="1" s="1"/>
  <c r="BP189" i="1" a="1"/>
  <c r="BP189" i="1" s="1"/>
  <c r="BP190" i="1" a="1"/>
  <c r="BP190" i="1" s="1"/>
  <c r="BP35" i="1" a="1"/>
  <c r="BP35"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55" i="1" a="1"/>
  <c r="BP255" i="1" s="1"/>
  <c r="BP203" i="1" a="1"/>
  <c r="BP203" i="1" s="1"/>
  <c r="BP204" i="1" a="1"/>
  <c r="BP204" i="1" s="1"/>
  <c r="BP205" i="1" a="1"/>
  <c r="BP205" i="1" s="1"/>
  <c r="BP206" i="1" a="1"/>
  <c r="BP206" i="1" s="1"/>
  <c r="BP207" i="1" a="1"/>
  <c r="BP207" i="1" s="1"/>
  <c r="BP208" i="1" a="1"/>
  <c r="BP208" i="1" s="1"/>
  <c r="BP114" i="1" a="1"/>
  <c r="BP114"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02" i="1" a="1"/>
  <c r="BP202"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J65" i="1" a="1"/>
  <c r="BJ65" i="1" s="1"/>
  <c r="BY65" i="1" s="1"/>
  <c r="BJ236" i="1" a="1"/>
  <c r="BJ236" i="1" s="1"/>
  <c r="BY236" i="1" s="1"/>
  <c r="E2" i="3"/>
  <c r="E3" i="3" s="1"/>
  <c r="E4" i="3" s="1"/>
  <c r="E5" i="3" s="1"/>
  <c r="E6" i="3" s="1"/>
  <c r="E7" i="3" s="1"/>
  <c r="E8" i="3" s="1"/>
  <c r="E9" i="3" s="1"/>
  <c r="E10" i="3" s="1"/>
  <c r="E11" i="3" s="1"/>
  <c r="E12" i="3" s="1"/>
  <c r="E13" i="3" s="1"/>
  <c r="E14" i="3" s="1"/>
  <c r="E15" i="3" s="1"/>
  <c r="E16" i="3" s="1"/>
  <c r="E17" i="3" s="1"/>
  <c r="E18" i="3" s="1"/>
  <c r="E19" i="3" s="1"/>
  <c r="E20" i="3" s="1"/>
  <c r="E21" i="3" s="1"/>
  <c r="E22" i="3" s="1"/>
  <c r="E23" i="3" s="1"/>
  <c r="E24" i="3" s="1"/>
  <c r="C1" i="3"/>
  <c r="F1" i="3" s="1"/>
  <c r="BT6" i="1" a="1"/>
  <c r="BT6" i="1" s="1"/>
  <c r="BT7" i="1" a="1"/>
  <c r="BT7" i="1" s="1"/>
  <c r="BT8" i="1" a="1"/>
  <c r="BT8" i="1" s="1"/>
  <c r="BT9" i="1" a="1"/>
  <c r="BT9" i="1" s="1"/>
  <c r="BT10" i="1" a="1"/>
  <c r="BT10" i="1" s="1"/>
  <c r="BT11" i="1" a="1"/>
  <c r="BT11" i="1" s="1"/>
  <c r="BT12" i="1" a="1"/>
  <c r="BT12" i="1" s="1"/>
  <c r="BT13" i="1" a="1"/>
  <c r="BT13" i="1" s="1"/>
  <c r="BT186" i="1" a="1"/>
  <c r="BT186"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U6" i="1" a="1"/>
  <c r="BU6" i="1" s="1"/>
  <c r="BU7" i="1" a="1"/>
  <c r="BU7" i="1" s="1"/>
  <c r="BU8" i="1" a="1"/>
  <c r="BU8" i="1" s="1"/>
  <c r="BU9" i="1" a="1"/>
  <c r="BU9" i="1" s="1"/>
  <c r="BU10" i="1" a="1"/>
  <c r="BU10" i="1" s="1"/>
  <c r="BU11" i="1" a="1"/>
  <c r="BU11" i="1" s="1"/>
  <c r="BU12" i="1" a="1"/>
  <c r="BU12" i="1" s="1"/>
  <c r="BU13" i="1" a="1"/>
  <c r="BU13" i="1" s="1"/>
  <c r="BU186" i="1" a="1"/>
  <c r="BU186" i="1" s="1"/>
  <c r="BU15" i="1" a="1"/>
  <c r="BU15" i="1" s="1"/>
  <c r="BU16" i="1" a="1"/>
  <c r="BU16" i="1" s="1"/>
  <c r="BU17" i="1" a="1"/>
  <c r="BU17" i="1" s="1"/>
  <c r="BU18" i="1" a="1"/>
  <c r="BU18" i="1" s="1"/>
  <c r="BU90" i="1" a="1"/>
  <c r="BU90" i="1" s="1"/>
  <c r="BU20" i="1" a="1"/>
  <c r="BU20" i="1" s="1"/>
  <c r="BU21" i="1" a="1"/>
  <c r="BU21" i="1" s="1"/>
  <c r="BU22" i="1" a="1"/>
  <c r="BU22" i="1" s="1"/>
  <c r="BU23" i="1" a="1"/>
  <c r="BU23" i="1" s="1"/>
  <c r="BU24" i="1" a="1"/>
  <c r="BU24" i="1" s="1"/>
  <c r="BU25" i="1" a="1"/>
  <c r="BU25" i="1" s="1"/>
  <c r="BU26" i="1" a="1"/>
  <c r="BU26" i="1" s="1"/>
  <c r="BU27" i="1" a="1"/>
  <c r="BU27" i="1" s="1"/>
  <c r="BU28" i="1" a="1"/>
  <c r="BU28" i="1" s="1"/>
  <c r="BU29" i="1" a="1"/>
  <c r="BU29" i="1" s="1"/>
  <c r="BU30" i="1" a="1"/>
  <c r="BU30" i="1" s="1"/>
  <c r="BU31" i="1" a="1"/>
  <c r="BU31" i="1" s="1"/>
  <c r="BU32" i="1" a="1"/>
  <c r="BU32" i="1" s="1"/>
  <c r="BU33" i="1" a="1"/>
  <c r="BU33" i="1" s="1"/>
  <c r="BU34" i="1" a="1"/>
  <c r="BU34" i="1" s="1"/>
  <c r="BU209" i="1" a="1"/>
  <c r="BU209" i="1" s="1"/>
  <c r="BU36" i="1" a="1"/>
  <c r="BU36" i="1" s="1"/>
  <c r="BU37" i="1" a="1"/>
  <c r="BU37" i="1" s="1"/>
  <c r="BU38" i="1" a="1"/>
  <c r="BU38" i="1" s="1"/>
  <c r="BU39" i="1" a="1"/>
  <c r="BU39" i="1" s="1"/>
  <c r="BU40" i="1" a="1"/>
  <c r="BU40" i="1" s="1"/>
  <c r="BU41" i="1" a="1"/>
  <c r="BU41" i="1" s="1"/>
  <c r="BU42" i="1" a="1"/>
  <c r="BU42" i="1" s="1"/>
  <c r="BU43" i="1" a="1"/>
  <c r="BU43" i="1" s="1"/>
  <c r="BU44" i="1" a="1"/>
  <c r="BU44" i="1" s="1"/>
  <c r="BU45" i="1" a="1"/>
  <c r="BU45" i="1" s="1"/>
  <c r="BU46" i="1" a="1"/>
  <c r="BU46" i="1" s="1"/>
  <c r="BU47" i="1" a="1"/>
  <c r="BU47" i="1" s="1"/>
  <c r="BU48" i="1" a="1"/>
  <c r="BU48" i="1" s="1"/>
  <c r="BU49" i="1" a="1"/>
  <c r="BU49" i="1" s="1"/>
  <c r="BU50" i="1" a="1"/>
  <c r="BU50" i="1" s="1"/>
  <c r="BU51" i="1" a="1"/>
  <c r="BU51" i="1" s="1"/>
  <c r="BU52" i="1" a="1"/>
  <c r="BU52" i="1" s="1"/>
  <c r="BU53" i="1" a="1"/>
  <c r="BU53" i="1" s="1"/>
  <c r="BU54" i="1" a="1"/>
  <c r="BU54" i="1" s="1"/>
  <c r="BU55" i="1" a="1"/>
  <c r="BU55" i="1" s="1"/>
  <c r="BU56" i="1" a="1"/>
  <c r="BU56" i="1" s="1"/>
  <c r="BU57" i="1" a="1"/>
  <c r="BU57" i="1" s="1"/>
  <c r="BU58" i="1" a="1"/>
  <c r="BU58" i="1" s="1"/>
  <c r="BU59" i="1" a="1"/>
  <c r="BU59" i="1" s="1"/>
  <c r="BU60" i="1" a="1"/>
  <c r="BU60" i="1" s="1"/>
  <c r="BU61" i="1" a="1"/>
  <c r="BU61" i="1" s="1"/>
  <c r="BU62" i="1" a="1"/>
  <c r="BU62" i="1" s="1"/>
  <c r="BU63" i="1" a="1"/>
  <c r="BU63" i="1" s="1"/>
  <c r="BU64" i="1" a="1"/>
  <c r="BU64" i="1" s="1"/>
  <c r="BU127" i="1" a="1"/>
  <c r="BU127" i="1" s="1"/>
  <c r="BU66" i="1" a="1"/>
  <c r="BU66" i="1" s="1"/>
  <c r="BU121" i="1" a="1"/>
  <c r="BU121" i="1" s="1"/>
  <c r="BU68" i="1" a="1"/>
  <c r="BU68" i="1" s="1"/>
  <c r="BU69" i="1" a="1"/>
  <c r="BU69" i="1" s="1"/>
  <c r="BU184" i="1" a="1"/>
  <c r="BU184" i="1" s="1"/>
  <c r="BU71" i="1" a="1"/>
  <c r="BU71" i="1" s="1"/>
  <c r="BU72" i="1" a="1"/>
  <c r="BU72" i="1" s="1"/>
  <c r="BU73" i="1" a="1"/>
  <c r="BU73" i="1" s="1"/>
  <c r="BU74" i="1" a="1"/>
  <c r="BU74" i="1" s="1"/>
  <c r="BU75" i="1" a="1"/>
  <c r="BU75" i="1" s="1"/>
  <c r="BU76" i="1" a="1"/>
  <c r="BU76" i="1" s="1"/>
  <c r="BU77" i="1" a="1"/>
  <c r="BU77" i="1" s="1"/>
  <c r="BU78" i="1" a="1"/>
  <c r="BU78" i="1" s="1"/>
  <c r="BU79" i="1" a="1"/>
  <c r="BU79" i="1" s="1"/>
  <c r="BU80" i="1" a="1"/>
  <c r="BU80" i="1" s="1"/>
  <c r="BU81" i="1" a="1"/>
  <c r="BU81" i="1" s="1"/>
  <c r="BU82" i="1" a="1"/>
  <c r="BU82" i="1" s="1"/>
  <c r="BU83" i="1" a="1"/>
  <c r="BU83" i="1" s="1"/>
  <c r="BU84" i="1" a="1"/>
  <c r="BU84" i="1" s="1"/>
  <c r="BU85" i="1" a="1"/>
  <c r="BU85" i="1" s="1"/>
  <c r="BU86" i="1" a="1"/>
  <c r="BU86" i="1" s="1"/>
  <c r="BU87" i="1" a="1"/>
  <c r="BU87" i="1" s="1"/>
  <c r="BU88" i="1" a="1"/>
  <c r="BU88" i="1" s="1"/>
  <c r="BU124" i="1" a="1"/>
  <c r="BU124" i="1" s="1"/>
  <c r="BU163" i="1" a="1"/>
  <c r="BU163" i="1" s="1"/>
  <c r="BU91" i="1" a="1"/>
  <c r="BU91" i="1" s="1"/>
  <c r="BU180" i="1" a="1"/>
  <c r="BU180" i="1" s="1"/>
  <c r="BU93" i="1" a="1"/>
  <c r="BU93" i="1" s="1"/>
  <c r="BU94" i="1" a="1"/>
  <c r="BU94" i="1" s="1"/>
  <c r="BU95" i="1" a="1"/>
  <c r="BU95" i="1" s="1"/>
  <c r="BU96" i="1" a="1"/>
  <c r="BU96" i="1" s="1"/>
  <c r="BU97" i="1" a="1"/>
  <c r="BU97" i="1" s="1"/>
  <c r="BU98" i="1" a="1"/>
  <c r="BU98" i="1" s="1"/>
  <c r="BU99" i="1" a="1"/>
  <c r="BU99" i="1" s="1"/>
  <c r="BU100" i="1" a="1"/>
  <c r="BU100" i="1" s="1"/>
  <c r="BU101" i="1" a="1"/>
  <c r="BU101" i="1" s="1"/>
  <c r="BU102" i="1" a="1"/>
  <c r="BU102" i="1" s="1"/>
  <c r="BU103" i="1" a="1"/>
  <c r="BU103" i="1" s="1"/>
  <c r="BU104" i="1" a="1"/>
  <c r="BU104" i="1" s="1"/>
  <c r="BU105" i="1" a="1"/>
  <c r="BU105" i="1" s="1"/>
  <c r="BU106" i="1" a="1"/>
  <c r="BU106" i="1" s="1"/>
  <c r="BU107" i="1" a="1"/>
  <c r="BU107" i="1" s="1"/>
  <c r="BU108" i="1" a="1"/>
  <c r="BU108" i="1" s="1"/>
  <c r="BU109" i="1" a="1"/>
  <c r="BU109" i="1" s="1"/>
  <c r="BU110" i="1" a="1"/>
  <c r="BU110" i="1" s="1"/>
  <c r="BU111" i="1" a="1"/>
  <c r="BU111" i="1" s="1"/>
  <c r="BU112" i="1" a="1"/>
  <c r="BU112" i="1" s="1"/>
  <c r="BU113" i="1" a="1"/>
  <c r="BU113" i="1" s="1"/>
  <c r="BU89" i="1" a="1"/>
  <c r="BU89" i="1" s="1"/>
  <c r="BU115" i="1" a="1"/>
  <c r="BU115" i="1" s="1"/>
  <c r="BU116" i="1" a="1"/>
  <c r="BU116" i="1" s="1"/>
  <c r="BU117" i="1" a="1"/>
  <c r="BU117" i="1" s="1"/>
  <c r="BU118" i="1" a="1"/>
  <c r="BU118" i="1" s="1"/>
  <c r="BU119" i="1" a="1"/>
  <c r="BU119" i="1" s="1"/>
  <c r="BU67" i="1" a="1"/>
  <c r="BU67" i="1" s="1"/>
  <c r="BU70" i="1" a="1"/>
  <c r="BU70" i="1" s="1"/>
  <c r="BU122" i="1" a="1"/>
  <c r="BU122" i="1" s="1"/>
  <c r="BU123" i="1" a="1"/>
  <c r="BU123" i="1" s="1"/>
  <c r="BU153" i="1" a="1"/>
  <c r="BU153" i="1" s="1"/>
  <c r="BU125" i="1" a="1"/>
  <c r="BU125" i="1" s="1"/>
  <c r="BU126" i="1" a="1"/>
  <c r="BU126" i="1" s="1"/>
  <c r="BU14" i="1" a="1"/>
  <c r="BU14" i="1" s="1"/>
  <c r="BU128" i="1" a="1"/>
  <c r="BU128" i="1" s="1"/>
  <c r="BU129" i="1" a="1"/>
  <c r="BU129" i="1" s="1"/>
  <c r="BU130" i="1" a="1"/>
  <c r="BU130" i="1" s="1"/>
  <c r="BU131" i="1" a="1"/>
  <c r="BU131" i="1" s="1"/>
  <c r="BU132" i="1" a="1"/>
  <c r="BU132" i="1" s="1"/>
  <c r="BU133" i="1" a="1"/>
  <c r="BU133" i="1" s="1"/>
  <c r="BU134" i="1" a="1"/>
  <c r="BU134" i="1" s="1"/>
  <c r="BU135" i="1" a="1"/>
  <c r="BU135" i="1" s="1"/>
  <c r="BU136" i="1" a="1"/>
  <c r="BU136" i="1" s="1"/>
  <c r="BU137" i="1" a="1"/>
  <c r="BU137" i="1" s="1"/>
  <c r="BU138" i="1" a="1"/>
  <c r="BU138" i="1" s="1"/>
  <c r="BU139" i="1" a="1"/>
  <c r="BU139" i="1" s="1"/>
  <c r="BU140" i="1" a="1"/>
  <c r="BU140" i="1" s="1"/>
  <c r="BU141" i="1" a="1"/>
  <c r="BU141" i="1" s="1"/>
  <c r="BU142" i="1" a="1"/>
  <c r="BU142" i="1" s="1"/>
  <c r="BU143" i="1" a="1"/>
  <c r="BU143" i="1" s="1"/>
  <c r="BU144" i="1" a="1"/>
  <c r="BU144" i="1" s="1"/>
  <c r="BU145" i="1" a="1"/>
  <c r="BU145" i="1" s="1"/>
  <c r="BU146" i="1" a="1"/>
  <c r="BU146" i="1" s="1"/>
  <c r="BU147" i="1" a="1"/>
  <c r="BU147" i="1" s="1"/>
  <c r="BU148" i="1" a="1"/>
  <c r="BU148" i="1" s="1"/>
  <c r="BU149" i="1" a="1"/>
  <c r="BU149" i="1" s="1"/>
  <c r="BU150" i="1" a="1"/>
  <c r="BU150" i="1" s="1"/>
  <c r="BU151" i="1" a="1"/>
  <c r="BU151" i="1" s="1"/>
  <c r="BU152" i="1" a="1"/>
  <c r="BU152" i="1" s="1"/>
  <c r="BU120" i="1" a="1"/>
  <c r="BU120" i="1" s="1"/>
  <c r="BU154" i="1" a="1"/>
  <c r="BU154" i="1" s="1"/>
  <c r="BU92" i="1" a="1"/>
  <c r="BU92" i="1" s="1"/>
  <c r="BU156" i="1" a="1"/>
  <c r="BU156" i="1" s="1"/>
  <c r="BU157" i="1" a="1"/>
  <c r="BU157" i="1" s="1"/>
  <c r="BU158" i="1" a="1"/>
  <c r="BU158" i="1" s="1"/>
  <c r="BU159" i="1" a="1"/>
  <c r="BU159" i="1" s="1"/>
  <c r="BU160" i="1" a="1"/>
  <c r="BU160" i="1" s="1"/>
  <c r="BU161" i="1" a="1"/>
  <c r="BU161" i="1" s="1"/>
  <c r="BU162" i="1" a="1"/>
  <c r="BU162" i="1" s="1"/>
  <c r="BU65" i="1" a="1"/>
  <c r="BU65" i="1" s="1"/>
  <c r="BU164" i="1" a="1"/>
  <c r="BU164" i="1" s="1"/>
  <c r="BU165" i="1" a="1"/>
  <c r="BU165" i="1" s="1"/>
  <c r="BU166" i="1" a="1"/>
  <c r="BU166" i="1" s="1"/>
  <c r="BU167" i="1" a="1"/>
  <c r="BU167" i="1" s="1"/>
  <c r="BU168" i="1" a="1"/>
  <c r="BU168" i="1" s="1"/>
  <c r="BU169" i="1" a="1"/>
  <c r="BU169" i="1" s="1"/>
  <c r="BU170" i="1" a="1"/>
  <c r="BU170" i="1" s="1"/>
  <c r="BU171" i="1" a="1"/>
  <c r="BU171" i="1" s="1"/>
  <c r="BU172" i="1" a="1"/>
  <c r="BU172" i="1" s="1"/>
  <c r="BU173" i="1" a="1"/>
  <c r="BU173" i="1" s="1"/>
  <c r="BU174" i="1" a="1"/>
  <c r="BU174" i="1" s="1"/>
  <c r="BU175" i="1" a="1"/>
  <c r="BU175" i="1" s="1"/>
  <c r="BU176" i="1" a="1"/>
  <c r="BU176" i="1" s="1"/>
  <c r="BU177" i="1" a="1"/>
  <c r="BU177" i="1" s="1"/>
  <c r="BU178" i="1" a="1"/>
  <c r="BU178" i="1" s="1"/>
  <c r="BU179" i="1" a="1"/>
  <c r="BU179" i="1" s="1"/>
  <c r="BU155" i="1" a="1"/>
  <c r="BU155" i="1" s="1"/>
  <c r="BU181" i="1" a="1"/>
  <c r="BU181" i="1" s="1"/>
  <c r="BU182" i="1" a="1"/>
  <c r="BU182" i="1" s="1"/>
  <c r="BU183" i="1" a="1"/>
  <c r="BU183" i="1" s="1"/>
  <c r="BU191" i="1" a="1"/>
  <c r="BU191" i="1" s="1"/>
  <c r="BU185" i="1" a="1"/>
  <c r="BU185" i="1" s="1"/>
  <c r="BU19" i="1" a="1"/>
  <c r="BU19" i="1" s="1"/>
  <c r="BU187" i="1" a="1"/>
  <c r="BU187" i="1" s="1"/>
  <c r="BU188" i="1" a="1"/>
  <c r="BU188" i="1" s="1"/>
  <c r="BU189" i="1" a="1"/>
  <c r="BU189" i="1" s="1"/>
  <c r="BU190" i="1" a="1"/>
  <c r="BU190" i="1" s="1"/>
  <c r="BU35" i="1" a="1"/>
  <c r="BU35" i="1" s="1"/>
  <c r="BU192" i="1" a="1"/>
  <c r="BU192" i="1" s="1"/>
  <c r="BU193" i="1" a="1"/>
  <c r="BU193" i="1" s="1"/>
  <c r="BU194" i="1" a="1"/>
  <c r="BU194" i="1" s="1"/>
  <c r="BU195" i="1" a="1"/>
  <c r="BU195" i="1" s="1"/>
  <c r="BU196" i="1" a="1"/>
  <c r="BU196" i="1" s="1"/>
  <c r="BU197" i="1" a="1"/>
  <c r="BU197" i="1" s="1"/>
  <c r="BU198" i="1" a="1"/>
  <c r="BU198" i="1" s="1"/>
  <c r="BU199" i="1" a="1"/>
  <c r="BU199" i="1" s="1"/>
  <c r="BU200" i="1" a="1"/>
  <c r="BU200" i="1" s="1"/>
  <c r="BU201" i="1" a="1"/>
  <c r="BU201" i="1" s="1"/>
  <c r="BU255" i="1" a="1"/>
  <c r="BU255" i="1" s="1"/>
  <c r="BU203" i="1" a="1"/>
  <c r="BU203" i="1" s="1"/>
  <c r="BU204" i="1" a="1"/>
  <c r="BU204" i="1" s="1"/>
  <c r="BU205" i="1" a="1"/>
  <c r="BU205" i="1" s="1"/>
  <c r="BU206" i="1" a="1"/>
  <c r="BU206" i="1" s="1"/>
  <c r="BU207" i="1" a="1"/>
  <c r="BU207" i="1" s="1"/>
  <c r="BU208" i="1" a="1"/>
  <c r="BU208" i="1" s="1"/>
  <c r="BU114" i="1" a="1"/>
  <c r="BU114" i="1" s="1"/>
  <c r="BU210" i="1" a="1"/>
  <c r="BU210" i="1" s="1"/>
  <c r="BU211" i="1" a="1"/>
  <c r="BU211" i="1" s="1"/>
  <c r="BU212" i="1" a="1"/>
  <c r="BU212" i="1" s="1"/>
  <c r="BU213" i="1" a="1"/>
  <c r="BU213" i="1" s="1"/>
  <c r="BU214" i="1" a="1"/>
  <c r="BU214" i="1" s="1"/>
  <c r="BU215" i="1" a="1"/>
  <c r="BU215" i="1" s="1"/>
  <c r="BU216" i="1" a="1"/>
  <c r="BU216" i="1" s="1"/>
  <c r="BU217" i="1" a="1"/>
  <c r="BU217" i="1" s="1"/>
  <c r="BU218" i="1" a="1"/>
  <c r="BU218" i="1" s="1"/>
  <c r="BU219" i="1" a="1"/>
  <c r="BU219" i="1" s="1"/>
  <c r="BU220" i="1" a="1"/>
  <c r="BU220" i="1" s="1"/>
  <c r="BU221" i="1" a="1"/>
  <c r="BU221" i="1" s="1"/>
  <c r="BU222" i="1" a="1"/>
  <c r="BU222" i="1" s="1"/>
  <c r="BU223" i="1" a="1"/>
  <c r="BU223" i="1" s="1"/>
  <c r="BU224" i="1" a="1"/>
  <c r="BU224" i="1" s="1"/>
  <c r="BU225" i="1" a="1"/>
  <c r="BU225" i="1" s="1"/>
  <c r="BU226" i="1" a="1"/>
  <c r="BU226" i="1" s="1"/>
  <c r="BU227" i="1" a="1"/>
  <c r="BU227" i="1" s="1"/>
  <c r="BU228" i="1" a="1"/>
  <c r="BU228" i="1" s="1"/>
  <c r="BU229" i="1" a="1"/>
  <c r="BU229" i="1" s="1"/>
  <c r="BU230" i="1" a="1"/>
  <c r="BU230" i="1" s="1"/>
  <c r="BU231" i="1" a="1"/>
  <c r="BU231" i="1" s="1"/>
  <c r="BU232" i="1" a="1"/>
  <c r="BU232" i="1" s="1"/>
  <c r="BU233" i="1" a="1"/>
  <c r="BU233" i="1" s="1"/>
  <c r="BU234" i="1" a="1"/>
  <c r="BU234" i="1" s="1"/>
  <c r="BU235" i="1" a="1"/>
  <c r="BU235" i="1" s="1"/>
  <c r="BU236" i="1" a="1"/>
  <c r="BU236" i="1" s="1"/>
  <c r="BU237" i="1" a="1"/>
  <c r="BU237" i="1" s="1"/>
  <c r="BU238" i="1" a="1"/>
  <c r="BU238" i="1" s="1"/>
  <c r="BU239" i="1" a="1"/>
  <c r="BU239" i="1" s="1"/>
  <c r="BU240" i="1" a="1"/>
  <c r="BU240" i="1" s="1"/>
  <c r="BU241" i="1" a="1"/>
  <c r="BU241" i="1" s="1"/>
  <c r="BU242" i="1" a="1"/>
  <c r="BU242" i="1" s="1"/>
  <c r="BU243" i="1" a="1"/>
  <c r="BU243" i="1" s="1"/>
  <c r="BU244" i="1" a="1"/>
  <c r="BU244" i="1" s="1"/>
  <c r="BU245" i="1" a="1"/>
  <c r="BU245" i="1" s="1"/>
  <c r="BU246" i="1" a="1"/>
  <c r="BU246" i="1" s="1"/>
  <c r="BU247" i="1" a="1"/>
  <c r="BU247" i="1" s="1"/>
  <c r="BU248" i="1" a="1"/>
  <c r="BU248" i="1" s="1"/>
  <c r="BU249" i="1" a="1"/>
  <c r="BU249" i="1" s="1"/>
  <c r="BU250" i="1" a="1"/>
  <c r="BU250" i="1" s="1"/>
  <c r="BU251" i="1" a="1"/>
  <c r="BU251" i="1" s="1"/>
  <c r="BU252" i="1" a="1"/>
  <c r="BU252" i="1" s="1"/>
  <c r="BU253" i="1" a="1"/>
  <c r="BU253" i="1" s="1"/>
  <c r="BU254" i="1" a="1"/>
  <c r="BU254" i="1" s="1"/>
  <c r="BU202" i="1" a="1"/>
  <c r="BU202" i="1" s="1"/>
  <c r="BU256" i="1" a="1"/>
  <c r="BU256" i="1" s="1"/>
  <c r="BU257" i="1" a="1"/>
  <c r="BU257" i="1" s="1"/>
  <c r="BU258" i="1" a="1"/>
  <c r="BU258" i="1" s="1"/>
  <c r="BU259" i="1" a="1"/>
  <c r="BU259" i="1" s="1"/>
  <c r="BU260" i="1" a="1"/>
  <c r="BU260" i="1" s="1"/>
  <c r="BU261" i="1" a="1"/>
  <c r="BU261" i="1" s="1"/>
  <c r="BU262" i="1" a="1"/>
  <c r="BU262" i="1" s="1"/>
  <c r="BU263" i="1" a="1"/>
  <c r="BU263" i="1" s="1"/>
  <c r="BU264" i="1" a="1"/>
  <c r="BU264" i="1" s="1"/>
  <c r="BU265" i="1" a="1"/>
  <c r="BU265" i="1" s="1"/>
  <c r="BU266" i="1" a="1"/>
  <c r="BU266" i="1" s="1"/>
  <c r="BU267" i="1" a="1"/>
  <c r="BU267" i="1" s="1"/>
  <c r="BU268" i="1" a="1"/>
  <c r="BU268" i="1" s="1"/>
  <c r="BU269" i="1" a="1"/>
  <c r="BU269" i="1" s="1"/>
  <c r="BU270" i="1" a="1"/>
  <c r="BU270" i="1" s="1"/>
  <c r="BU271" i="1" a="1"/>
  <c r="BU271" i="1" s="1"/>
  <c r="BJ9" i="1" a="1"/>
  <c r="BJ9" i="1" s="1"/>
  <c r="BY9" i="1" s="1"/>
  <c r="BJ10" i="1" a="1"/>
  <c r="BJ10" i="1" s="1"/>
  <c r="BY10" i="1" s="1"/>
  <c r="BJ11" i="1" a="1"/>
  <c r="BJ11" i="1" s="1"/>
  <c r="BY11" i="1" s="1"/>
  <c r="BJ12" i="1" a="1"/>
  <c r="BJ12" i="1" s="1"/>
  <c r="BY12" i="1" s="1"/>
  <c r="BJ13" i="1" a="1"/>
  <c r="BJ13" i="1" s="1"/>
  <c r="BY13" i="1" s="1"/>
  <c r="BJ15" i="1" a="1"/>
  <c r="BJ15" i="1" s="1"/>
  <c r="BY15" i="1" s="1"/>
  <c r="BJ16" i="1" a="1"/>
  <c r="BJ16" i="1" s="1"/>
  <c r="BY16" i="1" s="1"/>
  <c r="BJ17" i="1" a="1"/>
  <c r="BJ17" i="1" s="1"/>
  <c r="BY17" i="1" s="1"/>
  <c r="BJ18" i="1" a="1"/>
  <c r="BJ18" i="1" s="1"/>
  <c r="BY18" i="1" s="1"/>
  <c r="BJ20" i="1" a="1"/>
  <c r="BJ20" i="1" s="1"/>
  <c r="BY20" i="1" s="1"/>
  <c r="BJ21" i="1" a="1"/>
  <c r="BJ21" i="1" s="1"/>
  <c r="BY21" i="1" s="1"/>
  <c r="BJ55" i="1" a="1"/>
  <c r="BJ55" i="1" s="1"/>
  <c r="BY55" i="1" s="1"/>
  <c r="BW9" i="1" l="1"/>
  <c r="BW245" i="1"/>
  <c r="BW65" i="1"/>
  <c r="BW7" i="1"/>
  <c r="BW55" i="1"/>
  <c r="BW17" i="1"/>
  <c r="BW12" i="1"/>
  <c r="BW8" i="1"/>
  <c r="BW132" i="1"/>
  <c r="BW13" i="1"/>
  <c r="BW14" i="1"/>
  <c r="BW238" i="1"/>
  <c r="BW18" i="1"/>
  <c r="BW21" i="1"/>
  <c r="BW16" i="1"/>
  <c r="BW11" i="1"/>
  <c r="BW20" i="1"/>
  <c r="BW15" i="1"/>
  <c r="BW10" i="1"/>
  <c r="BW236" i="1"/>
  <c r="BW22" i="1"/>
  <c r="BW121" i="1"/>
  <c r="DY6" i="1"/>
  <c r="DY271" i="1"/>
  <c r="DY267" i="1"/>
  <c r="DY263" i="1"/>
  <c r="DY259" i="1"/>
  <c r="DY255" i="1"/>
  <c r="DY251" i="1"/>
  <c r="DY247" i="1"/>
  <c r="DY243" i="1"/>
  <c r="DY239" i="1"/>
  <c r="DY235" i="1"/>
  <c r="DY231" i="1"/>
  <c r="DY227" i="1"/>
  <c r="DY223" i="1"/>
  <c r="DY219" i="1"/>
  <c r="DY215" i="1"/>
  <c r="DY211" i="1"/>
  <c r="DY207" i="1"/>
  <c r="DY203" i="1"/>
  <c r="DY199" i="1"/>
  <c r="DY195" i="1"/>
  <c r="DY191" i="1"/>
  <c r="DY187" i="1"/>
  <c r="DY183" i="1"/>
  <c r="DY179" i="1"/>
  <c r="DY175" i="1"/>
  <c r="DY171" i="1"/>
  <c r="DY167" i="1"/>
  <c r="DY163" i="1"/>
  <c r="DY159" i="1"/>
  <c r="DY89" i="1"/>
  <c r="DY151" i="1"/>
  <c r="DY147" i="1"/>
  <c r="DY143" i="1"/>
  <c r="DY139" i="1"/>
  <c r="DY135" i="1"/>
  <c r="DY131" i="1"/>
  <c r="DY127" i="1"/>
  <c r="DY123" i="1"/>
  <c r="DY119" i="1"/>
  <c r="DY115" i="1"/>
  <c r="DY111" i="1"/>
  <c r="DY107" i="1"/>
  <c r="DY103" i="1"/>
  <c r="DY99" i="1"/>
  <c r="DY95" i="1"/>
  <c r="DY91" i="1"/>
  <c r="DY87" i="1"/>
  <c r="DY83" i="1"/>
  <c r="DY79" i="1"/>
  <c r="DY75" i="1"/>
  <c r="DY71" i="1"/>
  <c r="DY121" i="1"/>
  <c r="DY63" i="1"/>
  <c r="DY59" i="1"/>
  <c r="DY55" i="1"/>
  <c r="DY51" i="1"/>
  <c r="DY47" i="1"/>
  <c r="DY43" i="1"/>
  <c r="DY39" i="1"/>
  <c r="DY35" i="1"/>
  <c r="DY31" i="1"/>
  <c r="DY27" i="1"/>
  <c r="DY23" i="1"/>
  <c r="DY90" i="1"/>
  <c r="DY15" i="1"/>
  <c r="DY11" i="1"/>
  <c r="DY7" i="1"/>
  <c r="DY270" i="1"/>
  <c r="DY266" i="1"/>
  <c r="DY262" i="1"/>
  <c r="DY258" i="1"/>
  <c r="DY254" i="1"/>
  <c r="DY250" i="1"/>
  <c r="DY246" i="1"/>
  <c r="DY242" i="1"/>
  <c r="DY238" i="1"/>
  <c r="DY234" i="1"/>
  <c r="DY230" i="1"/>
  <c r="DY226" i="1"/>
  <c r="DY222" i="1"/>
  <c r="DY218" i="1"/>
  <c r="DY214" i="1"/>
  <c r="DY210" i="1"/>
  <c r="DY206" i="1"/>
  <c r="DY202" i="1"/>
  <c r="DY198" i="1"/>
  <c r="DY194" i="1"/>
  <c r="DY190" i="1"/>
  <c r="DY19" i="1"/>
  <c r="DY182" i="1"/>
  <c r="DY178" i="1"/>
  <c r="DY174" i="1"/>
  <c r="DY170" i="1"/>
  <c r="DY166" i="1"/>
  <c r="DY162" i="1"/>
  <c r="DY158" i="1"/>
  <c r="DY154" i="1"/>
  <c r="DY150" i="1"/>
  <c r="DY146" i="1"/>
  <c r="DY142" i="1"/>
  <c r="DY138" i="1"/>
  <c r="DY134" i="1"/>
  <c r="DY130" i="1"/>
  <c r="DY126" i="1"/>
  <c r="DY122" i="1"/>
  <c r="DY118" i="1"/>
  <c r="DY153" i="1"/>
  <c r="DY110" i="1"/>
  <c r="DY106" i="1"/>
  <c r="DY102" i="1"/>
  <c r="DY98" i="1"/>
  <c r="DY94" i="1"/>
  <c r="DY86" i="1"/>
  <c r="DY82" i="1"/>
  <c r="DY78" i="1"/>
  <c r="DY74" i="1"/>
  <c r="DY155" i="1"/>
  <c r="DY66" i="1"/>
  <c r="DY62" i="1"/>
  <c r="DY58" i="1"/>
  <c r="DY54" i="1"/>
  <c r="DY50" i="1"/>
  <c r="DY46" i="1"/>
  <c r="DY42" i="1"/>
  <c r="DY38" i="1"/>
  <c r="DY34" i="1"/>
  <c r="DY30" i="1"/>
  <c r="DY26" i="1"/>
  <c r="DY22" i="1"/>
  <c r="DY18" i="1"/>
  <c r="DY14" i="1"/>
  <c r="DY10" i="1"/>
  <c r="DY269" i="1"/>
  <c r="DY265" i="1"/>
  <c r="DY261" i="1"/>
  <c r="DY257" i="1"/>
  <c r="DY253" i="1"/>
  <c r="DY249" i="1"/>
  <c r="DY245" i="1"/>
  <c r="DY241" i="1"/>
  <c r="DY237" i="1"/>
  <c r="DY233" i="1"/>
  <c r="DY229" i="1"/>
  <c r="DY225" i="1"/>
  <c r="DY221" i="1"/>
  <c r="DY217" i="1"/>
  <c r="DY213" i="1"/>
  <c r="DY209" i="1"/>
  <c r="DY205" i="1"/>
  <c r="DY201" i="1"/>
  <c r="DY197" i="1"/>
  <c r="DY193" i="1"/>
  <c r="DY189" i="1"/>
  <c r="DY185" i="1"/>
  <c r="DY181" i="1"/>
  <c r="DY177" i="1"/>
  <c r="DY173" i="1"/>
  <c r="DY169" i="1"/>
  <c r="DY165" i="1"/>
  <c r="DY161" i="1"/>
  <c r="DY157" i="1"/>
  <c r="DY120" i="1"/>
  <c r="DY149" i="1"/>
  <c r="DY145" i="1"/>
  <c r="DY141" i="1"/>
  <c r="DY137" i="1"/>
  <c r="DY133" i="1"/>
  <c r="DY129" i="1"/>
  <c r="DY125" i="1"/>
  <c r="DY70" i="1"/>
  <c r="DY117" i="1"/>
  <c r="DY113" i="1"/>
  <c r="DY109" i="1"/>
  <c r="DY105" i="1"/>
  <c r="DY101" i="1"/>
  <c r="DY97" i="1"/>
  <c r="DY93" i="1"/>
  <c r="DY114" i="1"/>
  <c r="DY85" i="1"/>
  <c r="DY81" i="1"/>
  <c r="DY77" i="1"/>
  <c r="DY73" i="1"/>
  <c r="DY69" i="1"/>
  <c r="DY65" i="1"/>
  <c r="DY61" i="1"/>
  <c r="DY57" i="1"/>
  <c r="DY53" i="1"/>
  <c r="DY49" i="1"/>
  <c r="DY45" i="1"/>
  <c r="DY41" i="1"/>
  <c r="DY37" i="1"/>
  <c r="DY33" i="1"/>
  <c r="DY29" i="1"/>
  <c r="DY25" i="1"/>
  <c r="DY21" i="1"/>
  <c r="DY17" i="1"/>
  <c r="DY13" i="1"/>
  <c r="DY9" i="1"/>
  <c r="DY268" i="1"/>
  <c r="DY264" i="1"/>
  <c r="DY260" i="1"/>
  <c r="DY256" i="1"/>
  <c r="DY252" i="1"/>
  <c r="DY248" i="1"/>
  <c r="DY244" i="1"/>
  <c r="DY240" i="1"/>
  <c r="DY236" i="1"/>
  <c r="DY232" i="1"/>
  <c r="DY228" i="1"/>
  <c r="DY224" i="1"/>
  <c r="DY220" i="1"/>
  <c r="DY216" i="1"/>
  <c r="DY212" i="1"/>
  <c r="DY208" i="1"/>
  <c r="DY204" i="1"/>
  <c r="DY200" i="1"/>
  <c r="DY196" i="1"/>
  <c r="DY192" i="1"/>
  <c r="DY188" i="1"/>
  <c r="DY184" i="1"/>
  <c r="DY180" i="1"/>
  <c r="DY176" i="1"/>
  <c r="DY172" i="1"/>
  <c r="DY168" i="1"/>
  <c r="DY164" i="1"/>
  <c r="DY160" i="1"/>
  <c r="DY156" i="1"/>
  <c r="DY152" i="1"/>
  <c r="DY148" i="1"/>
  <c r="DY144" i="1"/>
  <c r="DY140" i="1"/>
  <c r="DY136" i="1"/>
  <c r="DY132" i="1"/>
  <c r="DY128" i="1"/>
  <c r="DY124" i="1"/>
  <c r="DY67" i="1"/>
  <c r="DY116" i="1"/>
  <c r="DY112" i="1"/>
  <c r="DY108" i="1"/>
  <c r="DY104" i="1"/>
  <c r="DY100" i="1"/>
  <c r="DY96" i="1"/>
  <c r="DY92" i="1"/>
  <c r="DY88" i="1"/>
  <c r="DY84" i="1"/>
  <c r="DY80" i="1"/>
  <c r="DY76" i="1"/>
  <c r="DY72" i="1"/>
  <c r="DY68" i="1"/>
  <c r="DY64" i="1"/>
  <c r="DY60" i="1"/>
  <c r="DY56" i="1"/>
  <c r="DY52" i="1"/>
  <c r="DY48" i="1"/>
  <c r="DY44" i="1"/>
  <c r="DY40" i="1"/>
  <c r="DY36" i="1"/>
  <c r="DY32" i="1"/>
  <c r="DY28" i="1"/>
  <c r="DY24" i="1"/>
  <c r="DY20" i="1"/>
  <c r="DY16" i="1"/>
  <c r="DY12" i="1"/>
  <c r="DY8" i="1"/>
  <c r="DY186" i="1"/>
  <c r="DX270" i="1"/>
  <c r="EL13" i="1"/>
  <c r="EN13" i="1" s="1"/>
  <c r="EP13" i="1" s="1"/>
  <c r="EL7" i="1"/>
  <c r="EN7" i="1" s="1"/>
  <c r="EP7" i="1" s="1"/>
  <c r="EL55" i="1"/>
  <c r="EN55" i="1" s="1"/>
  <c r="EP55" i="1" s="1"/>
  <c r="EL21" i="1"/>
  <c r="EN21" i="1" s="1"/>
  <c r="EP21" i="1" s="1"/>
  <c r="EL16" i="1"/>
  <c r="EN16" i="1" s="1"/>
  <c r="EP16" i="1" s="1"/>
  <c r="EL12" i="1"/>
  <c r="EN12" i="1" s="1"/>
  <c r="EP12" i="1" s="1"/>
  <c r="EL245" i="1"/>
  <c r="EN245" i="1" s="1"/>
  <c r="EP245" i="1" s="1"/>
  <c r="EL17" i="1"/>
  <c r="EN17" i="1" s="1"/>
  <c r="EP17" i="1" s="1"/>
  <c r="EL20" i="1"/>
  <c r="EN20" i="1" s="1"/>
  <c r="EP20" i="1" s="1"/>
  <c r="EL14" i="1"/>
  <c r="EN14" i="1" s="1"/>
  <c r="EP14" i="1" s="1"/>
  <c r="EL8" i="1"/>
  <c r="EN8" i="1" s="1"/>
  <c r="EP8" i="1" s="1"/>
  <c r="EL132" i="1"/>
  <c r="EN132" i="1" s="1"/>
  <c r="EP132" i="1" s="1"/>
  <c r="EL9" i="1"/>
  <c r="EN9" i="1" s="1"/>
  <c r="EP9" i="1" s="1"/>
  <c r="EL65" i="1"/>
  <c r="EN65" i="1" s="1"/>
  <c r="EP65" i="1" s="1"/>
  <c r="EL15" i="1"/>
  <c r="EN15" i="1" s="1"/>
  <c r="EP15" i="1" s="1"/>
  <c r="EL11" i="1"/>
  <c r="EN11" i="1" s="1"/>
  <c r="EP11" i="1" s="1"/>
  <c r="EL18" i="1"/>
  <c r="EN18" i="1" s="1"/>
  <c r="EP18" i="1" s="1"/>
  <c r="EL10" i="1"/>
  <c r="EN10" i="1" s="1"/>
  <c r="EP10" i="1" s="1"/>
  <c r="EL236" i="1"/>
  <c r="EN236" i="1" s="1"/>
  <c r="EP236" i="1" s="1"/>
  <c r="EL22" i="1"/>
  <c r="EN22" i="1" s="1"/>
  <c r="EP22" i="1" s="1"/>
  <c r="EL238" i="1"/>
  <c r="EN238" i="1" s="1"/>
  <c r="EP238" i="1" s="1"/>
  <c r="EL121" i="1"/>
  <c r="EN121" i="1" s="1"/>
  <c r="EP121" i="1" s="1"/>
  <c r="EL186" i="1"/>
  <c r="EN186" i="1" s="1"/>
  <c r="EP186" i="1" s="1"/>
  <c r="EN90" i="1"/>
  <c r="EP90" i="1" s="1"/>
  <c r="E25" i="3"/>
  <c r="E26" i="3" s="1"/>
  <c r="E27" i="3" s="1"/>
  <c r="E28" i="3" s="1"/>
  <c r="E29" i="3" s="1"/>
  <c r="E30" i="3" s="1"/>
  <c r="C2" i="3"/>
  <c r="C3" i="3" s="1"/>
  <c r="C4" i="3" s="1"/>
  <c r="C5" i="3" s="1"/>
  <c r="C6" i="3" s="1"/>
  <c r="C7" i="3" s="1"/>
  <c r="C8" i="3" s="1"/>
  <c r="C9" i="3" s="1"/>
  <c r="C10" i="3" s="1"/>
  <c r="C11" i="3" s="1"/>
  <c r="C12" i="3" s="1"/>
  <c r="C13" i="3" s="1"/>
  <c r="C14" i="3" s="1"/>
  <c r="C15" i="3" s="1"/>
  <c r="C16" i="3" s="1"/>
  <c r="C17" i="3" s="1"/>
  <c r="C18" i="3" s="1"/>
  <c r="C19" i="3" s="1"/>
  <c r="C20" i="3" s="1"/>
  <c r="C21" i="3" s="1"/>
  <c r="C22" i="3" s="1"/>
  <c r="C23" i="3" s="1"/>
  <c r="BN73" i="1" a="1"/>
  <c r="BN73" i="1" s="1"/>
  <c r="BN74" i="1" a="1"/>
  <c r="BN74" i="1" s="1"/>
  <c r="BN75" i="1" a="1"/>
  <c r="BN75" i="1" s="1"/>
  <c r="BN76" i="1" a="1"/>
  <c r="BN76" i="1" s="1"/>
  <c r="BN77" i="1" a="1"/>
  <c r="BN77" i="1" s="1"/>
  <c r="BN78" i="1" a="1"/>
  <c r="BN78" i="1" s="1"/>
  <c r="BN79" i="1" a="1"/>
  <c r="BN79" i="1" s="1"/>
  <c r="BN80" i="1" a="1"/>
  <c r="BN80" i="1" s="1"/>
  <c r="BN81" i="1" a="1"/>
  <c r="BN81" i="1" s="1"/>
  <c r="BN82" i="1" a="1"/>
  <c r="BN82" i="1" s="1"/>
  <c r="BN83" i="1" a="1"/>
  <c r="BN83" i="1" s="1"/>
  <c r="BN84" i="1" a="1"/>
  <c r="BN84" i="1" s="1"/>
  <c r="BN85" i="1" a="1"/>
  <c r="BN85" i="1" s="1"/>
  <c r="BN86" i="1" a="1"/>
  <c r="BN86" i="1" s="1"/>
  <c r="BN87" i="1" a="1"/>
  <c r="BN87" i="1" s="1"/>
  <c r="BN88" i="1" a="1"/>
  <c r="BN88" i="1" s="1"/>
  <c r="BN124" i="1" a="1"/>
  <c r="BN124" i="1" s="1"/>
  <c r="BN163" i="1" a="1"/>
  <c r="BN163" i="1" s="1"/>
  <c r="BN91" i="1" a="1"/>
  <c r="BN91" i="1" s="1"/>
  <c r="BN180" i="1" a="1"/>
  <c r="BN180" i="1" s="1"/>
  <c r="BN93" i="1" a="1"/>
  <c r="BN93" i="1" s="1"/>
  <c r="BN94" i="1" a="1"/>
  <c r="BN94" i="1" s="1"/>
  <c r="BN95" i="1" a="1"/>
  <c r="BN95" i="1" s="1"/>
  <c r="BN96" i="1" a="1"/>
  <c r="BN96" i="1" s="1"/>
  <c r="BN97" i="1" a="1"/>
  <c r="BN97" i="1" s="1"/>
  <c r="BN98" i="1" a="1"/>
  <c r="BN98" i="1" s="1"/>
  <c r="BN99" i="1" a="1"/>
  <c r="BN99" i="1" s="1"/>
  <c r="BN100" i="1" a="1"/>
  <c r="BN100" i="1" s="1"/>
  <c r="BN101" i="1" a="1"/>
  <c r="BN101" i="1" s="1"/>
  <c r="BN102" i="1" a="1"/>
  <c r="BN102" i="1" s="1"/>
  <c r="BN103" i="1" a="1"/>
  <c r="BN103" i="1" s="1"/>
  <c r="BN104" i="1" a="1"/>
  <c r="BN104" i="1" s="1"/>
  <c r="BN105" i="1" a="1"/>
  <c r="BN105" i="1" s="1"/>
  <c r="BN106" i="1" a="1"/>
  <c r="BN106" i="1" s="1"/>
  <c r="BN107" i="1" a="1"/>
  <c r="BN107" i="1" s="1"/>
  <c r="BN108" i="1" a="1"/>
  <c r="BN108" i="1" s="1"/>
  <c r="BN109" i="1" a="1"/>
  <c r="BN109" i="1" s="1"/>
  <c r="BN110" i="1" a="1"/>
  <c r="BN110" i="1" s="1"/>
  <c r="BN111" i="1" a="1"/>
  <c r="BN111" i="1" s="1"/>
  <c r="BN112" i="1" a="1"/>
  <c r="BN112" i="1" s="1"/>
  <c r="BN113" i="1" a="1"/>
  <c r="BN113" i="1" s="1"/>
  <c r="BN89" i="1" a="1"/>
  <c r="BN89" i="1" s="1"/>
  <c r="BN115" i="1" a="1"/>
  <c r="BN115" i="1" s="1"/>
  <c r="BN116" i="1" a="1"/>
  <c r="BN116" i="1" s="1"/>
  <c r="BN117" i="1" a="1"/>
  <c r="BN117" i="1" s="1"/>
  <c r="BN118" i="1" a="1"/>
  <c r="BN118" i="1" s="1"/>
  <c r="BN119" i="1" a="1"/>
  <c r="BN119" i="1" s="1"/>
  <c r="BN67" i="1" a="1"/>
  <c r="BN67" i="1" s="1"/>
  <c r="BN70" i="1" a="1"/>
  <c r="BN70" i="1" s="1"/>
  <c r="BN122" i="1" a="1"/>
  <c r="BN122" i="1" s="1"/>
  <c r="BN123" i="1" a="1"/>
  <c r="BN123" i="1" s="1"/>
  <c r="BN153" i="1" a="1"/>
  <c r="BN153" i="1" s="1"/>
  <c r="BN125" i="1" a="1"/>
  <c r="BN125" i="1" s="1"/>
  <c r="BN126" i="1" a="1"/>
  <c r="BN126" i="1" s="1"/>
  <c r="BN14" i="1" a="1"/>
  <c r="BN14" i="1" s="1"/>
  <c r="BN128" i="1" a="1"/>
  <c r="BN128" i="1" s="1"/>
  <c r="BN129" i="1" a="1"/>
  <c r="BN129" i="1" s="1"/>
  <c r="BN130" i="1" a="1"/>
  <c r="BN130" i="1" s="1"/>
  <c r="BN131" i="1" a="1"/>
  <c r="BN131" i="1" s="1"/>
  <c r="BN132" i="1" a="1"/>
  <c r="BN132" i="1" s="1"/>
  <c r="BN133" i="1" a="1"/>
  <c r="BN133" i="1" s="1"/>
  <c r="BN134" i="1" a="1"/>
  <c r="BN134" i="1" s="1"/>
  <c r="BN135" i="1" a="1"/>
  <c r="BN135" i="1" s="1"/>
  <c r="BN136" i="1" a="1"/>
  <c r="BN136" i="1" s="1"/>
  <c r="BN137" i="1" a="1"/>
  <c r="BN137" i="1" s="1"/>
  <c r="BN138" i="1" a="1"/>
  <c r="BN138" i="1" s="1"/>
  <c r="BN139" i="1" a="1"/>
  <c r="BN139" i="1" s="1"/>
  <c r="BN140" i="1" a="1"/>
  <c r="BN140" i="1" s="1"/>
  <c r="BN141" i="1" a="1"/>
  <c r="BN141" i="1" s="1"/>
  <c r="BN142" i="1" a="1"/>
  <c r="BN142" i="1" s="1"/>
  <c r="BN143" i="1" a="1"/>
  <c r="BN143" i="1" s="1"/>
  <c r="BN144" i="1" a="1"/>
  <c r="BN144" i="1" s="1"/>
  <c r="BN145" i="1" a="1"/>
  <c r="BN145" i="1" s="1"/>
  <c r="BN146" i="1" a="1"/>
  <c r="BN146" i="1" s="1"/>
  <c r="BN147" i="1" a="1"/>
  <c r="BN147" i="1" s="1"/>
  <c r="BN148" i="1" a="1"/>
  <c r="BN148" i="1" s="1"/>
  <c r="BN149" i="1" a="1"/>
  <c r="BN149" i="1" s="1"/>
  <c r="BN150" i="1" a="1"/>
  <c r="BN150" i="1" s="1"/>
  <c r="BN151" i="1" a="1"/>
  <c r="BN151" i="1" s="1"/>
  <c r="BN152" i="1" a="1"/>
  <c r="BN152" i="1" s="1"/>
  <c r="BN120" i="1" a="1"/>
  <c r="BN120" i="1" s="1"/>
  <c r="BN154" i="1" a="1"/>
  <c r="BN154" i="1" s="1"/>
  <c r="BN92" i="1" a="1"/>
  <c r="BN92" i="1" s="1"/>
  <c r="BN156" i="1" a="1"/>
  <c r="BN156" i="1" s="1"/>
  <c r="BN157" i="1" a="1"/>
  <c r="BN157" i="1" s="1"/>
  <c r="BN158" i="1" a="1"/>
  <c r="BN158" i="1" s="1"/>
  <c r="BN159" i="1" a="1"/>
  <c r="BN159" i="1" s="1"/>
  <c r="BN160" i="1" a="1"/>
  <c r="BN160" i="1" s="1"/>
  <c r="BN161" i="1" a="1"/>
  <c r="BN161" i="1" s="1"/>
  <c r="BN162" i="1" a="1"/>
  <c r="BN162" i="1" s="1"/>
  <c r="BN65" i="1" a="1"/>
  <c r="BN65" i="1" s="1"/>
  <c r="BN164" i="1" a="1"/>
  <c r="BN164" i="1" s="1"/>
  <c r="BN165" i="1" a="1"/>
  <c r="BN165" i="1" s="1"/>
  <c r="BN166" i="1" a="1"/>
  <c r="BN166" i="1" s="1"/>
  <c r="BN167" i="1" a="1"/>
  <c r="BN167" i="1" s="1"/>
  <c r="BN168" i="1" a="1"/>
  <c r="BN168" i="1" s="1"/>
  <c r="BN169" i="1" a="1"/>
  <c r="BN169" i="1" s="1"/>
  <c r="BN170" i="1" a="1"/>
  <c r="BN170" i="1" s="1"/>
  <c r="BN171" i="1" a="1"/>
  <c r="BN171" i="1" s="1"/>
  <c r="BN172" i="1" a="1"/>
  <c r="BN172" i="1" s="1"/>
  <c r="BN173" i="1" a="1"/>
  <c r="BN173" i="1" s="1"/>
  <c r="BN174" i="1" a="1"/>
  <c r="BN174" i="1" s="1"/>
  <c r="BN175" i="1" a="1"/>
  <c r="BN175" i="1" s="1"/>
  <c r="BN176" i="1" a="1"/>
  <c r="BN176" i="1" s="1"/>
  <c r="BN177" i="1" a="1"/>
  <c r="BN177" i="1" s="1"/>
  <c r="BN178" i="1" a="1"/>
  <c r="BN178" i="1" s="1"/>
  <c r="BN179" i="1" a="1"/>
  <c r="BN179" i="1" s="1"/>
  <c r="BN155" i="1" a="1"/>
  <c r="BN155" i="1" s="1"/>
  <c r="BN181" i="1" a="1"/>
  <c r="BN181" i="1" s="1"/>
  <c r="BN182" i="1" a="1"/>
  <c r="BN182" i="1" s="1"/>
  <c r="BN183" i="1" a="1"/>
  <c r="BN183" i="1" s="1"/>
  <c r="BN191" i="1" a="1"/>
  <c r="BN191" i="1" s="1"/>
  <c r="BN185" i="1" a="1"/>
  <c r="BN185" i="1" s="1"/>
  <c r="BN19" i="1" a="1"/>
  <c r="BN19" i="1" s="1"/>
  <c r="BN187" i="1" a="1"/>
  <c r="BN187" i="1" s="1"/>
  <c r="BN188" i="1" a="1"/>
  <c r="BN188" i="1" s="1"/>
  <c r="BN189" i="1" a="1"/>
  <c r="BN189" i="1" s="1"/>
  <c r="BN190" i="1" a="1"/>
  <c r="BN190" i="1" s="1"/>
  <c r="BN35" i="1" a="1"/>
  <c r="BN35" i="1" s="1"/>
  <c r="BN192" i="1" a="1"/>
  <c r="BN192" i="1" s="1"/>
  <c r="BN193" i="1" a="1"/>
  <c r="BN193" i="1" s="1"/>
  <c r="BN194" i="1" a="1"/>
  <c r="BN194" i="1" s="1"/>
  <c r="BN195" i="1" a="1"/>
  <c r="BN195" i="1" s="1"/>
  <c r="BN196" i="1" a="1"/>
  <c r="BN196" i="1" s="1"/>
  <c r="BN197" i="1" a="1"/>
  <c r="BN197" i="1" s="1"/>
  <c r="BN198" i="1" a="1"/>
  <c r="BN198" i="1" s="1"/>
  <c r="BN199" i="1" a="1"/>
  <c r="BN199" i="1" s="1"/>
  <c r="BN200" i="1" a="1"/>
  <c r="BN200" i="1" s="1"/>
  <c r="BN201" i="1" a="1"/>
  <c r="BN201" i="1" s="1"/>
  <c r="BN255" i="1" a="1"/>
  <c r="BN255" i="1" s="1"/>
  <c r="BN203" i="1" a="1"/>
  <c r="BN203" i="1" s="1"/>
  <c r="BN204" i="1" a="1"/>
  <c r="BN204" i="1" s="1"/>
  <c r="BN205" i="1" a="1"/>
  <c r="BN205" i="1" s="1"/>
  <c r="BN206" i="1" a="1"/>
  <c r="BN206" i="1" s="1"/>
  <c r="BN207" i="1" a="1"/>
  <c r="BN207" i="1" s="1"/>
  <c r="BN208" i="1" a="1"/>
  <c r="BN208" i="1" s="1"/>
  <c r="BN114" i="1" a="1"/>
  <c r="BN114" i="1" s="1"/>
  <c r="BN210" i="1" a="1"/>
  <c r="BN210" i="1" s="1"/>
  <c r="BN211" i="1" a="1"/>
  <c r="BN211" i="1" s="1"/>
  <c r="BN212" i="1" a="1"/>
  <c r="BN212" i="1" s="1"/>
  <c r="BN213" i="1" a="1"/>
  <c r="BN213" i="1" s="1"/>
  <c r="BN214" i="1" a="1"/>
  <c r="BN214" i="1" s="1"/>
  <c r="BN215" i="1" a="1"/>
  <c r="BN215" i="1" s="1"/>
  <c r="BN216" i="1" a="1"/>
  <c r="BN216" i="1" s="1"/>
  <c r="BN217" i="1" a="1"/>
  <c r="BN217" i="1" s="1"/>
  <c r="BN218" i="1" a="1"/>
  <c r="BN218" i="1" s="1"/>
  <c r="BN219" i="1" a="1"/>
  <c r="BN219" i="1" s="1"/>
  <c r="BN220" i="1" a="1"/>
  <c r="BN220" i="1" s="1"/>
  <c r="BN221" i="1" a="1"/>
  <c r="BN221" i="1" s="1"/>
  <c r="BN222" i="1" a="1"/>
  <c r="BN222" i="1" s="1"/>
  <c r="BN223" i="1" a="1"/>
  <c r="BN223" i="1" s="1"/>
  <c r="BN224" i="1" a="1"/>
  <c r="BN224" i="1" s="1"/>
  <c r="BN225" i="1" a="1"/>
  <c r="BN225" i="1" s="1"/>
  <c r="BN226" i="1" a="1"/>
  <c r="BN226" i="1" s="1"/>
  <c r="BN227" i="1" a="1"/>
  <c r="BN227" i="1" s="1"/>
  <c r="BN228" i="1" a="1"/>
  <c r="BN228" i="1" s="1"/>
  <c r="BN229" i="1" a="1"/>
  <c r="BN229" i="1" s="1"/>
  <c r="BN230" i="1" a="1"/>
  <c r="BN230" i="1" s="1"/>
  <c r="BN231" i="1" a="1"/>
  <c r="BN231" i="1" s="1"/>
  <c r="BN232" i="1" a="1"/>
  <c r="BN232" i="1" s="1"/>
  <c r="BN233" i="1" a="1"/>
  <c r="BN233" i="1" s="1"/>
  <c r="BN234" i="1" a="1"/>
  <c r="BN234" i="1" s="1"/>
  <c r="BN235" i="1" a="1"/>
  <c r="BN235" i="1" s="1"/>
  <c r="BN236" i="1" a="1"/>
  <c r="BN236" i="1" s="1"/>
  <c r="BN237" i="1" a="1"/>
  <c r="BN237" i="1" s="1"/>
  <c r="BN238" i="1" a="1"/>
  <c r="BN238" i="1" s="1"/>
  <c r="BN239" i="1" a="1"/>
  <c r="BN239" i="1" s="1"/>
  <c r="BN240" i="1" a="1"/>
  <c r="BN240" i="1" s="1"/>
  <c r="BN241" i="1" a="1"/>
  <c r="BN241" i="1" s="1"/>
  <c r="BN242" i="1" a="1"/>
  <c r="BN242" i="1" s="1"/>
  <c r="BN243" i="1" a="1"/>
  <c r="BN243" i="1" s="1"/>
  <c r="BN244" i="1" a="1"/>
  <c r="BN244" i="1" s="1"/>
  <c r="BN245" i="1" a="1"/>
  <c r="BN245" i="1" s="1"/>
  <c r="BN246" i="1" a="1"/>
  <c r="BN246" i="1" s="1"/>
  <c r="BN247" i="1" a="1"/>
  <c r="BN247" i="1" s="1"/>
  <c r="BN248" i="1" a="1"/>
  <c r="BN248" i="1" s="1"/>
  <c r="BN249" i="1" a="1"/>
  <c r="BN249" i="1" s="1"/>
  <c r="BN250" i="1" a="1"/>
  <c r="BN250" i="1" s="1"/>
  <c r="BN251" i="1" a="1"/>
  <c r="BN251" i="1" s="1"/>
  <c r="BN252" i="1" a="1"/>
  <c r="BN252" i="1" s="1"/>
  <c r="BN253" i="1" a="1"/>
  <c r="BN253" i="1" s="1"/>
  <c r="BN254" i="1" a="1"/>
  <c r="BN254" i="1" s="1"/>
  <c r="BN202" i="1" a="1"/>
  <c r="BN202" i="1" s="1"/>
  <c r="BN256" i="1" a="1"/>
  <c r="BN256" i="1" s="1"/>
  <c r="BN257" i="1" a="1"/>
  <c r="BN257" i="1" s="1"/>
  <c r="BN258" i="1" a="1"/>
  <c r="BN258" i="1" s="1"/>
  <c r="BN259" i="1" a="1"/>
  <c r="BN259" i="1" s="1"/>
  <c r="BN260" i="1" a="1"/>
  <c r="BN260" i="1" s="1"/>
  <c r="BN261" i="1" a="1"/>
  <c r="BN261" i="1" s="1"/>
  <c r="BN262" i="1" a="1"/>
  <c r="BN262" i="1" s="1"/>
  <c r="BN263" i="1" a="1"/>
  <c r="BN263" i="1" s="1"/>
  <c r="BN264" i="1" a="1"/>
  <c r="BN264" i="1" s="1"/>
  <c r="BN265" i="1" a="1"/>
  <c r="BN265" i="1" s="1"/>
  <c r="BN266" i="1" a="1"/>
  <c r="BN266" i="1" s="1"/>
  <c r="BN267" i="1" a="1"/>
  <c r="BN267" i="1" s="1"/>
  <c r="BN268" i="1" a="1"/>
  <c r="BN268" i="1" s="1"/>
  <c r="BN269" i="1" a="1"/>
  <c r="BN269" i="1" s="1"/>
  <c r="BN270" i="1" a="1"/>
  <c r="BN270" i="1" s="1"/>
  <c r="BN271" i="1" a="1"/>
  <c r="BN271" i="1" s="1"/>
  <c r="BN6" i="1" a="1"/>
  <c r="BN6" i="1" s="1"/>
  <c r="BN7" i="1" a="1"/>
  <c r="BN7" i="1" s="1"/>
  <c r="BN8" i="1" a="1"/>
  <c r="BN8" i="1" s="1"/>
  <c r="BN9" i="1" a="1"/>
  <c r="BN9" i="1" s="1"/>
  <c r="BN10" i="1" a="1"/>
  <c r="BN10" i="1" s="1"/>
  <c r="BN11" i="1" a="1"/>
  <c r="BN11" i="1" s="1"/>
  <c r="BN12" i="1" a="1"/>
  <c r="BN12" i="1" s="1"/>
  <c r="BN13" i="1" a="1"/>
  <c r="BN13" i="1" s="1"/>
  <c r="BN15" i="1" a="1"/>
  <c r="BN15" i="1" s="1"/>
  <c r="BN16" i="1" a="1"/>
  <c r="BN16" i="1" s="1"/>
  <c r="BN17" i="1" a="1"/>
  <c r="BN17" i="1" s="1"/>
  <c r="BN18" i="1" a="1"/>
  <c r="BN18" i="1" s="1"/>
  <c r="BN90" i="1" a="1"/>
  <c r="BN90" i="1" s="1"/>
  <c r="BN20" i="1" a="1"/>
  <c r="BN20" i="1" s="1"/>
  <c r="BN21" i="1" a="1"/>
  <c r="BN21" i="1" s="1"/>
  <c r="BN22" i="1" a="1"/>
  <c r="BN22" i="1" s="1"/>
  <c r="BN23" i="1" a="1"/>
  <c r="BN23" i="1" s="1"/>
  <c r="BN24" i="1" a="1"/>
  <c r="BN24" i="1" s="1"/>
  <c r="BN25" i="1" a="1"/>
  <c r="BN25" i="1" s="1"/>
  <c r="BN26" i="1" a="1"/>
  <c r="BN26" i="1" s="1"/>
  <c r="BN27" i="1" a="1"/>
  <c r="BN27" i="1" s="1"/>
  <c r="BN28" i="1" a="1"/>
  <c r="BN28" i="1" s="1"/>
  <c r="BN29" i="1" a="1"/>
  <c r="BN29" i="1" s="1"/>
  <c r="BN30" i="1" a="1"/>
  <c r="BN30" i="1" s="1"/>
  <c r="BN31" i="1" a="1"/>
  <c r="BN31" i="1" s="1"/>
  <c r="BN32" i="1" a="1"/>
  <c r="BN32" i="1" s="1"/>
  <c r="BN33" i="1" a="1"/>
  <c r="BN33" i="1" s="1"/>
  <c r="BN34" i="1" a="1"/>
  <c r="BN34" i="1" s="1"/>
  <c r="BN209" i="1" a="1"/>
  <c r="BN209" i="1" s="1"/>
  <c r="BN36" i="1" a="1"/>
  <c r="BN36" i="1" s="1"/>
  <c r="BN37" i="1" a="1"/>
  <c r="BN37" i="1" s="1"/>
  <c r="BN38" i="1" a="1"/>
  <c r="BN38" i="1" s="1"/>
  <c r="BN39" i="1" a="1"/>
  <c r="BN39" i="1" s="1"/>
  <c r="BN40" i="1" a="1"/>
  <c r="BN40" i="1" s="1"/>
  <c r="BN41" i="1" a="1"/>
  <c r="BN41" i="1" s="1"/>
  <c r="BN42" i="1" a="1"/>
  <c r="BN42" i="1" s="1"/>
  <c r="BN43" i="1" a="1"/>
  <c r="BN43" i="1" s="1"/>
  <c r="BN44" i="1" a="1"/>
  <c r="BN44" i="1" s="1"/>
  <c r="BN45" i="1" a="1"/>
  <c r="BN45" i="1" s="1"/>
  <c r="BN46" i="1" a="1"/>
  <c r="BN46" i="1" s="1"/>
  <c r="BN47" i="1" a="1"/>
  <c r="BN47" i="1" s="1"/>
  <c r="BN48" i="1" a="1"/>
  <c r="BN48" i="1" s="1"/>
  <c r="BN49" i="1" a="1"/>
  <c r="BN49" i="1" s="1"/>
  <c r="BN50" i="1" a="1"/>
  <c r="BN50" i="1" s="1"/>
  <c r="BN51" i="1" a="1"/>
  <c r="BN51" i="1" s="1"/>
  <c r="BN52" i="1" a="1"/>
  <c r="BN52" i="1" s="1"/>
  <c r="BN53" i="1" a="1"/>
  <c r="BN53" i="1" s="1"/>
  <c r="BN54" i="1" a="1"/>
  <c r="BN54" i="1" s="1"/>
  <c r="BN55" i="1" a="1"/>
  <c r="BN55" i="1" s="1"/>
  <c r="BN56" i="1" a="1"/>
  <c r="BN56" i="1" s="1"/>
  <c r="BN57" i="1" a="1"/>
  <c r="BN57" i="1" s="1"/>
  <c r="BN58" i="1" a="1"/>
  <c r="BN58" i="1" s="1"/>
  <c r="BN59" i="1" a="1"/>
  <c r="BN59" i="1" s="1"/>
  <c r="BN60" i="1" a="1"/>
  <c r="BN60" i="1" s="1"/>
  <c r="BN61" i="1" a="1"/>
  <c r="BN61" i="1" s="1"/>
  <c r="BN62" i="1" a="1"/>
  <c r="BN62" i="1" s="1"/>
  <c r="BN63" i="1" a="1"/>
  <c r="BN63" i="1" s="1"/>
  <c r="BN64" i="1" a="1"/>
  <c r="BN64" i="1" s="1"/>
  <c r="BN127" i="1" a="1"/>
  <c r="BN127" i="1" s="1"/>
  <c r="BN66" i="1" a="1"/>
  <c r="BN66" i="1" s="1"/>
  <c r="BN121" i="1" a="1"/>
  <c r="BN121" i="1" s="1"/>
  <c r="BN68" i="1" a="1"/>
  <c r="BN68" i="1" s="1"/>
  <c r="BN69" i="1" a="1"/>
  <c r="BN69" i="1" s="1"/>
  <c r="BN184" i="1" a="1"/>
  <c r="BN184" i="1" s="1"/>
  <c r="BN71" i="1" a="1"/>
  <c r="BN71" i="1" s="1"/>
  <c r="BN72" i="1" a="1"/>
  <c r="BN72" i="1" s="1"/>
  <c r="DK6" i="1" a="1"/>
  <c r="DK6" i="1" s="1"/>
  <c r="ED270" i="1" l="1"/>
  <c r="DX264" i="1"/>
  <c r="ED264" i="1" s="1"/>
  <c r="DX8" i="1"/>
  <c r="ED8" i="1" s="1"/>
  <c r="DX81" i="1"/>
  <c r="ED81" i="1" s="1"/>
  <c r="DX92" i="1"/>
  <c r="ED92" i="1" s="1"/>
  <c r="DX165" i="1"/>
  <c r="ED165" i="1" s="1"/>
  <c r="DX176" i="1"/>
  <c r="ED176" i="1" s="1"/>
  <c r="DX253" i="1"/>
  <c r="ED253" i="1" s="1"/>
  <c r="DX48" i="1"/>
  <c r="ED48" i="1" s="1"/>
  <c r="DX220" i="1"/>
  <c r="ED220" i="1" s="1"/>
  <c r="DX125" i="1"/>
  <c r="ED125" i="1" s="1"/>
  <c r="DX30" i="1"/>
  <c r="ED30" i="1" s="1"/>
  <c r="DX74" i="1"/>
  <c r="ED74" i="1" s="1"/>
  <c r="DX136" i="1"/>
  <c r="ED136" i="1" s="1"/>
  <c r="DX37" i="1"/>
  <c r="ED37" i="1" s="1"/>
  <c r="DX209" i="1"/>
  <c r="ED209" i="1" s="1"/>
  <c r="DX118" i="1"/>
  <c r="ED118" i="1" s="1"/>
  <c r="DX16" i="1"/>
  <c r="ED16" i="1" s="1"/>
  <c r="DX60" i="1"/>
  <c r="ED60" i="1" s="1"/>
  <c r="DX104" i="1"/>
  <c r="ED104" i="1" s="1"/>
  <c r="DX144" i="1"/>
  <c r="ED144" i="1" s="1"/>
  <c r="DX188" i="1"/>
  <c r="ED188" i="1" s="1"/>
  <c r="DX232" i="1"/>
  <c r="ED232" i="1" s="1"/>
  <c r="DX6" i="1"/>
  <c r="ED6" i="1" s="1"/>
  <c r="DX49" i="1"/>
  <c r="ED49" i="1" s="1"/>
  <c r="DX93" i="1"/>
  <c r="ED93" i="1" s="1"/>
  <c r="DX133" i="1"/>
  <c r="ED133" i="1" s="1"/>
  <c r="DX177" i="1"/>
  <c r="ED177" i="1" s="1"/>
  <c r="DX221" i="1"/>
  <c r="ED221" i="1" s="1"/>
  <c r="DX261" i="1"/>
  <c r="ED261" i="1" s="1"/>
  <c r="DX42" i="1"/>
  <c r="ED42" i="1" s="1"/>
  <c r="DX86" i="1"/>
  <c r="ED86" i="1" s="1"/>
  <c r="DX126" i="1"/>
  <c r="ED126" i="1" s="1"/>
  <c r="DX28" i="1"/>
  <c r="ED28" i="1" s="1"/>
  <c r="DX72" i="1"/>
  <c r="ED72" i="1" s="1"/>
  <c r="DX112" i="1"/>
  <c r="ED112" i="1" s="1"/>
  <c r="DX156" i="1"/>
  <c r="ED156" i="1" s="1"/>
  <c r="DX200" i="1"/>
  <c r="ED200" i="1" s="1"/>
  <c r="DX240" i="1"/>
  <c r="ED240" i="1" s="1"/>
  <c r="DX17" i="1"/>
  <c r="ED17" i="1" s="1"/>
  <c r="DX61" i="1"/>
  <c r="ED61" i="1" s="1"/>
  <c r="DX101" i="1"/>
  <c r="ED101" i="1" s="1"/>
  <c r="DX145" i="1"/>
  <c r="ED145" i="1" s="1"/>
  <c r="DX189" i="1"/>
  <c r="ED189" i="1" s="1"/>
  <c r="DX229" i="1"/>
  <c r="ED229" i="1" s="1"/>
  <c r="DX10" i="1"/>
  <c r="ED10" i="1" s="1"/>
  <c r="DX54" i="1"/>
  <c r="ED54" i="1" s="1"/>
  <c r="DX94" i="1"/>
  <c r="ED94" i="1" s="1"/>
  <c r="DX138" i="1"/>
  <c r="ED138" i="1" s="1"/>
  <c r="DX40" i="1"/>
  <c r="ED40" i="1" s="1"/>
  <c r="DX80" i="1"/>
  <c r="ED80" i="1" s="1"/>
  <c r="DX124" i="1"/>
  <c r="ED124" i="1" s="1"/>
  <c r="DX168" i="1"/>
  <c r="ED168" i="1" s="1"/>
  <c r="DX208" i="1"/>
  <c r="ED208" i="1" s="1"/>
  <c r="DX252" i="1"/>
  <c r="ED252" i="1" s="1"/>
  <c r="DX29" i="1"/>
  <c r="ED29" i="1" s="1"/>
  <c r="DX69" i="1"/>
  <c r="ED69" i="1" s="1"/>
  <c r="DX113" i="1"/>
  <c r="ED113" i="1" s="1"/>
  <c r="DX157" i="1"/>
  <c r="ED157" i="1" s="1"/>
  <c r="DX197" i="1"/>
  <c r="ED197" i="1" s="1"/>
  <c r="DX241" i="1"/>
  <c r="ED241" i="1" s="1"/>
  <c r="DX22" i="1"/>
  <c r="ED22" i="1" s="1"/>
  <c r="DX62" i="1"/>
  <c r="ED62" i="1" s="1"/>
  <c r="DX106" i="1"/>
  <c r="ED106" i="1" s="1"/>
  <c r="DX150" i="1"/>
  <c r="ED150" i="1" s="1"/>
  <c r="DX24" i="1"/>
  <c r="ED24" i="1" s="1"/>
  <c r="DX44" i="1"/>
  <c r="ED44" i="1" s="1"/>
  <c r="DX64" i="1"/>
  <c r="ED64" i="1" s="1"/>
  <c r="DX88" i="1"/>
  <c r="ED88" i="1" s="1"/>
  <c r="DX108" i="1"/>
  <c r="ED108" i="1" s="1"/>
  <c r="DX128" i="1"/>
  <c r="ED128" i="1" s="1"/>
  <c r="DX152" i="1"/>
  <c r="ED152" i="1" s="1"/>
  <c r="DX172" i="1"/>
  <c r="ED172" i="1" s="1"/>
  <c r="DX192" i="1"/>
  <c r="ED192" i="1" s="1"/>
  <c r="DX216" i="1"/>
  <c r="ED216" i="1" s="1"/>
  <c r="DX236" i="1"/>
  <c r="ED236" i="1" s="1"/>
  <c r="DX256" i="1"/>
  <c r="ED256" i="1" s="1"/>
  <c r="DX13" i="1"/>
  <c r="ED13" i="1" s="1"/>
  <c r="DX33" i="1"/>
  <c r="ED33" i="1" s="1"/>
  <c r="DX53" i="1"/>
  <c r="ED53" i="1" s="1"/>
  <c r="DX77" i="1"/>
  <c r="ED77" i="1" s="1"/>
  <c r="DX97" i="1"/>
  <c r="ED97" i="1" s="1"/>
  <c r="DX117" i="1"/>
  <c r="ED117" i="1" s="1"/>
  <c r="DX141" i="1"/>
  <c r="ED141" i="1" s="1"/>
  <c r="DX161" i="1"/>
  <c r="ED161" i="1" s="1"/>
  <c r="DX181" i="1"/>
  <c r="ED181" i="1" s="1"/>
  <c r="DX205" i="1"/>
  <c r="ED205" i="1" s="1"/>
  <c r="DX225" i="1"/>
  <c r="ED225" i="1" s="1"/>
  <c r="DX245" i="1"/>
  <c r="ED245" i="1" s="1"/>
  <c r="DX269" i="1"/>
  <c r="ED269" i="1" s="1"/>
  <c r="DX26" i="1"/>
  <c r="ED26" i="1" s="1"/>
  <c r="DX46" i="1"/>
  <c r="ED46" i="1" s="1"/>
  <c r="DX155" i="1"/>
  <c r="ED155" i="1" s="1"/>
  <c r="DX186" i="1"/>
  <c r="ED186" i="1" s="1"/>
  <c r="DX110" i="1"/>
  <c r="ED110" i="1" s="1"/>
  <c r="DX134" i="1"/>
  <c r="ED134" i="1" s="1"/>
  <c r="DX154" i="1"/>
  <c r="ED154" i="1" s="1"/>
  <c r="DX19" i="1"/>
  <c r="ED19" i="1" s="1"/>
  <c r="DX218" i="1"/>
  <c r="ED218" i="1" s="1"/>
  <c r="DX250" i="1"/>
  <c r="ED250" i="1" s="1"/>
  <c r="DX90" i="1"/>
  <c r="ED90" i="1" s="1"/>
  <c r="DX51" i="1"/>
  <c r="ED51" i="1" s="1"/>
  <c r="DX83" i="1"/>
  <c r="ED83" i="1" s="1"/>
  <c r="DX115" i="1"/>
  <c r="ED115" i="1" s="1"/>
  <c r="DX147" i="1"/>
  <c r="ED147" i="1" s="1"/>
  <c r="DX179" i="1"/>
  <c r="ED179" i="1" s="1"/>
  <c r="DX211" i="1"/>
  <c r="ED211" i="1" s="1"/>
  <c r="DX243" i="1"/>
  <c r="ED243" i="1" s="1"/>
  <c r="DX158" i="1"/>
  <c r="ED158" i="1" s="1"/>
  <c r="DX190" i="1"/>
  <c r="ED190" i="1" s="1"/>
  <c r="DX222" i="1"/>
  <c r="ED222" i="1" s="1"/>
  <c r="DX254" i="1"/>
  <c r="ED254" i="1" s="1"/>
  <c r="DX23" i="1"/>
  <c r="ED23" i="1" s="1"/>
  <c r="DX55" i="1"/>
  <c r="ED55" i="1" s="1"/>
  <c r="DX87" i="1"/>
  <c r="ED87" i="1" s="1"/>
  <c r="DX119" i="1"/>
  <c r="ED119" i="1" s="1"/>
  <c r="DX151" i="1"/>
  <c r="ED151" i="1" s="1"/>
  <c r="DX183" i="1"/>
  <c r="ED183" i="1" s="1"/>
  <c r="DX215" i="1"/>
  <c r="ED215" i="1" s="1"/>
  <c r="DX247" i="1"/>
  <c r="ED247" i="1" s="1"/>
  <c r="DX12" i="1"/>
  <c r="ED12" i="1" s="1"/>
  <c r="DX32" i="1"/>
  <c r="ED32" i="1" s="1"/>
  <c r="DX56" i="1"/>
  <c r="ED56" i="1" s="1"/>
  <c r="DX76" i="1"/>
  <c r="ED76" i="1" s="1"/>
  <c r="DX96" i="1"/>
  <c r="ED96" i="1" s="1"/>
  <c r="DX67" i="1"/>
  <c r="ED67" i="1" s="1"/>
  <c r="DX140" i="1"/>
  <c r="ED140" i="1" s="1"/>
  <c r="DX160" i="1"/>
  <c r="ED160" i="1" s="1"/>
  <c r="DX184" i="1"/>
  <c r="ED184" i="1" s="1"/>
  <c r="DX204" i="1"/>
  <c r="ED204" i="1" s="1"/>
  <c r="DX224" i="1"/>
  <c r="ED224" i="1" s="1"/>
  <c r="DX248" i="1"/>
  <c r="ED248" i="1" s="1"/>
  <c r="DX268" i="1"/>
  <c r="ED268" i="1" s="1"/>
  <c r="DX21" i="1"/>
  <c r="ED21" i="1" s="1"/>
  <c r="DX45" i="1"/>
  <c r="ED45" i="1" s="1"/>
  <c r="DX65" i="1"/>
  <c r="ED65" i="1" s="1"/>
  <c r="DX85" i="1"/>
  <c r="ED85" i="1" s="1"/>
  <c r="DX109" i="1"/>
  <c r="ED109" i="1" s="1"/>
  <c r="DX129" i="1"/>
  <c r="ED129" i="1" s="1"/>
  <c r="DX149" i="1"/>
  <c r="ED149" i="1" s="1"/>
  <c r="DX173" i="1"/>
  <c r="ED173" i="1" s="1"/>
  <c r="DX193" i="1"/>
  <c r="ED193" i="1" s="1"/>
  <c r="DX213" i="1"/>
  <c r="ED213" i="1" s="1"/>
  <c r="DX237" i="1"/>
  <c r="ED237" i="1" s="1"/>
  <c r="DX257" i="1"/>
  <c r="ED257" i="1" s="1"/>
  <c r="DX14" i="1"/>
  <c r="ED14" i="1" s="1"/>
  <c r="DX38" i="1"/>
  <c r="ED38" i="1" s="1"/>
  <c r="DX58" i="1"/>
  <c r="ED58" i="1" s="1"/>
  <c r="DX78" i="1"/>
  <c r="ED78" i="1" s="1"/>
  <c r="DX102" i="1"/>
  <c r="ED102" i="1" s="1"/>
  <c r="DX122" i="1"/>
  <c r="ED122" i="1" s="1"/>
  <c r="DX142" i="1"/>
  <c r="ED142" i="1" s="1"/>
  <c r="DX170" i="1"/>
  <c r="ED170" i="1" s="1"/>
  <c r="DX202" i="1"/>
  <c r="ED202" i="1" s="1"/>
  <c r="DX234" i="1"/>
  <c r="ED234" i="1" s="1"/>
  <c r="DX266" i="1"/>
  <c r="ED266" i="1" s="1"/>
  <c r="DX35" i="1"/>
  <c r="ED35" i="1" s="1"/>
  <c r="DX121" i="1"/>
  <c r="ED121" i="1" s="1"/>
  <c r="DX99" i="1"/>
  <c r="ED99" i="1" s="1"/>
  <c r="DX131" i="1"/>
  <c r="ED131" i="1" s="1"/>
  <c r="DX163" i="1"/>
  <c r="ED163" i="1" s="1"/>
  <c r="DX195" i="1"/>
  <c r="ED195" i="1" s="1"/>
  <c r="DX227" i="1"/>
  <c r="ED227" i="1" s="1"/>
  <c r="DX259" i="1"/>
  <c r="ED259" i="1" s="1"/>
  <c r="DX174" i="1"/>
  <c r="ED174" i="1" s="1"/>
  <c r="DX206" i="1"/>
  <c r="ED206" i="1" s="1"/>
  <c r="DX238" i="1"/>
  <c r="ED238" i="1" s="1"/>
  <c r="DX7" i="1"/>
  <c r="ED7" i="1" s="1"/>
  <c r="DX39" i="1"/>
  <c r="ED39" i="1" s="1"/>
  <c r="DX71" i="1"/>
  <c r="ED71" i="1" s="1"/>
  <c r="DX103" i="1"/>
  <c r="ED103" i="1" s="1"/>
  <c r="DX135" i="1"/>
  <c r="ED135" i="1" s="1"/>
  <c r="DX167" i="1"/>
  <c r="ED167" i="1" s="1"/>
  <c r="DX199" i="1"/>
  <c r="ED199" i="1" s="1"/>
  <c r="DX231" i="1"/>
  <c r="ED231" i="1" s="1"/>
  <c r="DX263" i="1"/>
  <c r="ED263" i="1" s="1"/>
  <c r="DX20" i="1"/>
  <c r="ED20" i="1" s="1"/>
  <c r="DX36" i="1"/>
  <c r="ED36" i="1" s="1"/>
  <c r="DX52" i="1"/>
  <c r="ED52" i="1" s="1"/>
  <c r="DX68" i="1"/>
  <c r="ED68" i="1" s="1"/>
  <c r="DX84" i="1"/>
  <c r="ED84" i="1" s="1"/>
  <c r="DX100" i="1"/>
  <c r="ED100" i="1" s="1"/>
  <c r="DX116" i="1"/>
  <c r="ED116" i="1" s="1"/>
  <c r="DX132" i="1"/>
  <c r="ED132" i="1" s="1"/>
  <c r="DX148" i="1"/>
  <c r="ED148" i="1" s="1"/>
  <c r="DX164" i="1"/>
  <c r="ED164" i="1" s="1"/>
  <c r="DX180" i="1"/>
  <c r="ED180" i="1" s="1"/>
  <c r="DX196" i="1"/>
  <c r="ED196" i="1" s="1"/>
  <c r="DX212" i="1"/>
  <c r="ED212" i="1" s="1"/>
  <c r="DX228" i="1"/>
  <c r="ED228" i="1" s="1"/>
  <c r="DX244" i="1"/>
  <c r="ED244" i="1" s="1"/>
  <c r="DX260" i="1"/>
  <c r="ED260" i="1" s="1"/>
  <c r="DX9" i="1"/>
  <c r="ED9" i="1" s="1"/>
  <c r="DX25" i="1"/>
  <c r="ED25" i="1" s="1"/>
  <c r="DX41" i="1"/>
  <c r="ED41" i="1" s="1"/>
  <c r="DX57" i="1"/>
  <c r="ED57" i="1" s="1"/>
  <c r="DX73" i="1"/>
  <c r="ED73" i="1" s="1"/>
  <c r="DX114" i="1"/>
  <c r="ED114" i="1" s="1"/>
  <c r="DX105" i="1"/>
  <c r="ED105" i="1" s="1"/>
  <c r="DX70" i="1"/>
  <c r="ED70" i="1" s="1"/>
  <c r="DX137" i="1"/>
  <c r="ED137" i="1" s="1"/>
  <c r="DX120" i="1"/>
  <c r="ED120" i="1" s="1"/>
  <c r="DX169" i="1"/>
  <c r="ED169" i="1" s="1"/>
  <c r="DX185" i="1"/>
  <c r="ED185" i="1" s="1"/>
  <c r="DX201" i="1"/>
  <c r="ED201" i="1" s="1"/>
  <c r="DX217" i="1"/>
  <c r="ED217" i="1" s="1"/>
  <c r="DX233" i="1"/>
  <c r="ED233" i="1" s="1"/>
  <c r="DX249" i="1"/>
  <c r="ED249" i="1" s="1"/>
  <c r="DX265" i="1"/>
  <c r="ED265" i="1" s="1"/>
  <c r="DX18" i="1"/>
  <c r="ED18" i="1" s="1"/>
  <c r="DX34" i="1"/>
  <c r="ED34" i="1" s="1"/>
  <c r="DX50" i="1"/>
  <c r="ED50" i="1" s="1"/>
  <c r="DX66" i="1"/>
  <c r="ED66" i="1" s="1"/>
  <c r="DX82" i="1"/>
  <c r="ED82" i="1" s="1"/>
  <c r="DX98" i="1"/>
  <c r="ED98" i="1" s="1"/>
  <c r="DX153" i="1"/>
  <c r="ED153" i="1" s="1"/>
  <c r="DX130" i="1"/>
  <c r="ED130" i="1" s="1"/>
  <c r="DX146" i="1"/>
  <c r="ED146" i="1" s="1"/>
  <c r="DX162" i="1"/>
  <c r="ED162" i="1" s="1"/>
  <c r="DX178" i="1"/>
  <c r="ED178" i="1" s="1"/>
  <c r="DX194" i="1"/>
  <c r="ED194" i="1" s="1"/>
  <c r="DX210" i="1"/>
  <c r="ED210" i="1" s="1"/>
  <c r="DX226" i="1"/>
  <c r="ED226" i="1" s="1"/>
  <c r="DX242" i="1"/>
  <c r="ED242" i="1" s="1"/>
  <c r="DX258" i="1"/>
  <c r="ED258" i="1" s="1"/>
  <c r="DX11" i="1"/>
  <c r="ED11" i="1" s="1"/>
  <c r="DX27" i="1"/>
  <c r="ED27" i="1" s="1"/>
  <c r="DX43" i="1"/>
  <c r="ED43" i="1" s="1"/>
  <c r="DX59" i="1"/>
  <c r="ED59" i="1" s="1"/>
  <c r="DX75" i="1"/>
  <c r="ED75" i="1" s="1"/>
  <c r="DX91" i="1"/>
  <c r="ED91" i="1" s="1"/>
  <c r="DX107" i="1"/>
  <c r="ED107" i="1" s="1"/>
  <c r="DX123" i="1"/>
  <c r="ED123" i="1" s="1"/>
  <c r="DX139" i="1"/>
  <c r="ED139" i="1" s="1"/>
  <c r="DX89" i="1"/>
  <c r="ED89" i="1" s="1"/>
  <c r="DX171" i="1"/>
  <c r="ED171" i="1" s="1"/>
  <c r="DX187" i="1"/>
  <c r="ED187" i="1" s="1"/>
  <c r="DX203" i="1"/>
  <c r="ED203" i="1" s="1"/>
  <c r="DX219" i="1"/>
  <c r="ED219" i="1" s="1"/>
  <c r="DX235" i="1"/>
  <c r="ED235" i="1" s="1"/>
  <c r="DX251" i="1"/>
  <c r="ED251" i="1" s="1"/>
  <c r="DX267" i="1"/>
  <c r="ED267" i="1" s="1"/>
  <c r="DX166" i="1"/>
  <c r="ED166" i="1" s="1"/>
  <c r="DX182" i="1"/>
  <c r="ED182" i="1" s="1"/>
  <c r="DX198" i="1"/>
  <c r="ED198" i="1" s="1"/>
  <c r="DX214" i="1"/>
  <c r="ED214" i="1" s="1"/>
  <c r="DX230" i="1"/>
  <c r="ED230" i="1" s="1"/>
  <c r="DX246" i="1"/>
  <c r="ED246" i="1" s="1"/>
  <c r="DX262" i="1"/>
  <c r="ED262" i="1" s="1"/>
  <c r="DX15" i="1"/>
  <c r="ED15" i="1" s="1"/>
  <c r="DX31" i="1"/>
  <c r="ED31" i="1" s="1"/>
  <c r="DX47" i="1"/>
  <c r="ED47" i="1" s="1"/>
  <c r="DX63" i="1"/>
  <c r="ED63" i="1" s="1"/>
  <c r="DX79" i="1"/>
  <c r="ED79" i="1" s="1"/>
  <c r="DX95" i="1"/>
  <c r="ED95" i="1" s="1"/>
  <c r="DX111" i="1"/>
  <c r="ED111" i="1" s="1"/>
  <c r="DX127" i="1"/>
  <c r="ED127" i="1" s="1"/>
  <c r="DX143" i="1"/>
  <c r="ED143" i="1" s="1"/>
  <c r="DX159" i="1"/>
  <c r="ED159" i="1" s="1"/>
  <c r="DX175" i="1"/>
  <c r="ED175" i="1" s="1"/>
  <c r="DX191" i="1"/>
  <c r="ED191" i="1" s="1"/>
  <c r="DX207" i="1"/>
  <c r="ED207" i="1" s="1"/>
  <c r="DX223" i="1"/>
  <c r="ED223" i="1" s="1"/>
  <c r="DX239" i="1"/>
  <c r="ED239" i="1" s="1"/>
  <c r="DX255" i="1"/>
  <c r="ED255" i="1" s="1"/>
  <c r="DX271" i="1"/>
  <c r="ED271" i="1" s="1"/>
  <c r="F8" i="3"/>
  <c r="F3" i="3"/>
  <c r="F10" i="3"/>
  <c r="F19" i="3"/>
  <c r="F14" i="3"/>
  <c r="F5" i="3"/>
  <c r="F9" i="3"/>
  <c r="F4" i="3"/>
  <c r="F18" i="3"/>
  <c r="F7" i="3"/>
  <c r="F13" i="3"/>
  <c r="F16" i="3"/>
  <c r="F6" i="3"/>
  <c r="F22" i="3"/>
  <c r="F11" i="3"/>
  <c r="F21" i="3"/>
  <c r="F2" i="3"/>
  <c r="F23" i="3"/>
  <c r="C24" i="3"/>
  <c r="E31" i="3"/>
  <c r="F20" i="3"/>
  <c r="F15" i="3"/>
  <c r="F17" i="3"/>
  <c r="F12" i="3"/>
  <c r="CJ6" i="1"/>
  <c r="C25" i="3" l="1"/>
  <c r="F24" i="3"/>
  <c r="E32" i="3"/>
  <c r="CN6" i="1"/>
  <c r="CK6" i="1"/>
  <c r="CO6" i="1"/>
  <c r="CL6" i="1"/>
  <c r="CP6" i="1"/>
  <c r="DU180" i="1"/>
  <c r="C26" i="3" l="1"/>
  <c r="F25" i="3"/>
  <c r="E33" i="3"/>
  <c r="CQ6" i="1" a="1"/>
  <c r="CQ6" i="1" s="1"/>
  <c r="CR6" i="1" a="1"/>
  <c r="CR6" i="1" s="1"/>
  <c r="DU90" i="1"/>
  <c r="C27" i="3" l="1"/>
  <c r="F26" i="3"/>
  <c r="E34" i="3"/>
  <c r="CS6" i="1"/>
  <c r="C28" i="3" l="1"/>
  <c r="F27" i="3"/>
  <c r="E35" i="3"/>
  <c r="CT6" i="1"/>
  <c r="DG6" i="1"/>
  <c r="CZ6" i="1"/>
  <c r="DA6" i="1"/>
  <c r="DC6" i="1"/>
  <c r="DB6" i="1"/>
  <c r="CX6" i="1"/>
  <c r="CY6" i="1"/>
  <c r="DE6" i="1"/>
  <c r="CW6" i="1"/>
  <c r="CV6" i="1"/>
  <c r="DD6" i="1"/>
  <c r="DF6" i="1"/>
  <c r="CU6" i="1"/>
  <c r="F28" i="3" l="1"/>
  <c r="C29" i="3"/>
  <c r="E36" i="3"/>
  <c r="DJ6" i="1" a="1"/>
  <c r="DJ6" i="1" s="1"/>
  <c r="DI6" i="1" a="1"/>
  <c r="DI6" i="1" s="1"/>
  <c r="DT6" i="1" l="1"/>
  <c r="F29" i="3"/>
  <c r="C30" i="3"/>
  <c r="E37" i="3"/>
  <c r="DM6" i="1"/>
  <c r="DN6" i="1"/>
  <c r="C31" i="3" l="1"/>
  <c r="F30" i="3"/>
  <c r="E38" i="3"/>
  <c r="DL6" i="1"/>
  <c r="DK7" i="1" a="1"/>
  <c r="DK7" i="1" s="1"/>
  <c r="DK8" i="1" a="1"/>
  <c r="DK8" i="1" s="1"/>
  <c r="DK9" i="1" a="1"/>
  <c r="DK9" i="1" s="1"/>
  <c r="DK10" i="1" a="1"/>
  <c r="DK10" i="1" s="1"/>
  <c r="DK11" i="1" a="1"/>
  <c r="DK11" i="1" s="1"/>
  <c r="DK12" i="1" a="1"/>
  <c r="DK12" i="1" s="1"/>
  <c r="DK13" i="1" a="1"/>
  <c r="DK13" i="1" s="1"/>
  <c r="DK186" i="1" a="1"/>
  <c r="DK186" i="1" s="1"/>
  <c r="DK15" i="1" a="1"/>
  <c r="DK15" i="1" s="1"/>
  <c r="DK16" i="1" a="1"/>
  <c r="DK16" i="1" s="1"/>
  <c r="DK17" i="1" a="1"/>
  <c r="DK17" i="1" s="1"/>
  <c r="DK18" i="1" a="1"/>
  <c r="DK18" i="1" s="1"/>
  <c r="DK90" i="1" a="1"/>
  <c r="DK90" i="1" s="1"/>
  <c r="DK20" i="1" a="1"/>
  <c r="DK20" i="1" s="1"/>
  <c r="DK21" i="1" a="1"/>
  <c r="DK21" i="1" s="1"/>
  <c r="DK22" i="1" a="1"/>
  <c r="DK22" i="1" s="1"/>
  <c r="DK23" i="1" a="1"/>
  <c r="DK23" i="1" s="1"/>
  <c r="DK24" i="1" a="1"/>
  <c r="DK24" i="1" s="1"/>
  <c r="DK25" i="1" a="1"/>
  <c r="DK25" i="1" s="1"/>
  <c r="DK26" i="1" a="1"/>
  <c r="DK26" i="1" s="1"/>
  <c r="DK27" i="1" a="1"/>
  <c r="DK27" i="1" s="1"/>
  <c r="DK28" i="1" a="1"/>
  <c r="DK28" i="1" s="1"/>
  <c r="DK29" i="1" a="1"/>
  <c r="DK29" i="1" s="1"/>
  <c r="DK30" i="1" a="1"/>
  <c r="DK30" i="1" s="1"/>
  <c r="DK31" i="1" a="1"/>
  <c r="DK31" i="1" s="1"/>
  <c r="DK32" i="1" a="1"/>
  <c r="DK32" i="1" s="1"/>
  <c r="DK33" i="1" a="1"/>
  <c r="DK33" i="1" s="1"/>
  <c r="DK34" i="1" a="1"/>
  <c r="DK34" i="1" s="1"/>
  <c r="DK209" i="1" a="1"/>
  <c r="DK209" i="1" s="1"/>
  <c r="DK36" i="1" a="1"/>
  <c r="DK36" i="1" s="1"/>
  <c r="DK37" i="1" a="1"/>
  <c r="DK37" i="1" s="1"/>
  <c r="DK38" i="1" a="1"/>
  <c r="DK38" i="1" s="1"/>
  <c r="DK39" i="1" a="1"/>
  <c r="DK39" i="1" s="1"/>
  <c r="DK40" i="1" a="1"/>
  <c r="DK40" i="1" s="1"/>
  <c r="DK41" i="1" a="1"/>
  <c r="DK41" i="1" s="1"/>
  <c r="DK42" i="1" a="1"/>
  <c r="DK42" i="1" s="1"/>
  <c r="DK43" i="1" a="1"/>
  <c r="DK43" i="1" s="1"/>
  <c r="DK44" i="1" a="1"/>
  <c r="DK44" i="1" s="1"/>
  <c r="DK45" i="1" a="1"/>
  <c r="DK45" i="1" s="1"/>
  <c r="DK46" i="1" a="1"/>
  <c r="DK46" i="1" s="1"/>
  <c r="DK47" i="1" a="1"/>
  <c r="DK47" i="1" s="1"/>
  <c r="DK48" i="1" a="1"/>
  <c r="DK48" i="1" s="1"/>
  <c r="DK49" i="1" a="1"/>
  <c r="DK49" i="1" s="1"/>
  <c r="DK50" i="1" a="1"/>
  <c r="DK50" i="1" s="1"/>
  <c r="DK51" i="1" a="1"/>
  <c r="DK51" i="1" s="1"/>
  <c r="DK52" i="1" a="1"/>
  <c r="DK52" i="1" s="1"/>
  <c r="DK53" i="1" a="1"/>
  <c r="DK53" i="1" s="1"/>
  <c r="DK54" i="1" a="1"/>
  <c r="DK54" i="1" s="1"/>
  <c r="DK55" i="1" a="1"/>
  <c r="DK55" i="1" s="1"/>
  <c r="DK56" i="1" a="1"/>
  <c r="DK56" i="1" s="1"/>
  <c r="DK57" i="1" a="1"/>
  <c r="DK57" i="1" s="1"/>
  <c r="DK58" i="1" a="1"/>
  <c r="DK58" i="1" s="1"/>
  <c r="DK59" i="1" a="1"/>
  <c r="DK59" i="1" s="1"/>
  <c r="DK60" i="1" a="1"/>
  <c r="DK60" i="1" s="1"/>
  <c r="DK61" i="1" a="1"/>
  <c r="DK61" i="1" s="1"/>
  <c r="DK62" i="1" a="1"/>
  <c r="DK62" i="1" s="1"/>
  <c r="DK63" i="1" a="1"/>
  <c r="DK63" i="1" s="1"/>
  <c r="DK64" i="1" a="1"/>
  <c r="DK64" i="1" s="1"/>
  <c r="DK127" i="1" a="1"/>
  <c r="DK127" i="1" s="1"/>
  <c r="DK66" i="1" a="1"/>
  <c r="DK66" i="1" s="1"/>
  <c r="DK121" i="1" a="1"/>
  <c r="DK121" i="1" s="1"/>
  <c r="DK68" i="1" a="1"/>
  <c r="DK68" i="1" s="1"/>
  <c r="DK69" i="1" a="1"/>
  <c r="DK69" i="1" s="1"/>
  <c r="DK184" i="1" a="1"/>
  <c r="DK184" i="1" s="1"/>
  <c r="DK71" i="1" a="1"/>
  <c r="DK71" i="1" s="1"/>
  <c r="DK72" i="1" a="1"/>
  <c r="DK72" i="1" s="1"/>
  <c r="DK73" i="1" a="1"/>
  <c r="DK73" i="1" s="1"/>
  <c r="DK74" i="1" a="1"/>
  <c r="DK74" i="1" s="1"/>
  <c r="DK75" i="1" a="1"/>
  <c r="DK75" i="1" s="1"/>
  <c r="DK76" i="1" a="1"/>
  <c r="DK76" i="1" s="1"/>
  <c r="DK77" i="1" a="1"/>
  <c r="DK77" i="1" s="1"/>
  <c r="DK78" i="1" a="1"/>
  <c r="DK78" i="1" s="1"/>
  <c r="DK79" i="1" a="1"/>
  <c r="DK79" i="1" s="1"/>
  <c r="DK80" i="1" a="1"/>
  <c r="DK80" i="1" s="1"/>
  <c r="DK81" i="1" a="1"/>
  <c r="DK81" i="1" s="1"/>
  <c r="DK82" i="1" a="1"/>
  <c r="DK82" i="1" s="1"/>
  <c r="DK83" i="1" a="1"/>
  <c r="DK83" i="1" s="1"/>
  <c r="DK84" i="1" a="1"/>
  <c r="DK84" i="1" s="1"/>
  <c r="DK85" i="1" a="1"/>
  <c r="DK85" i="1" s="1"/>
  <c r="DK86" i="1" a="1"/>
  <c r="DK86" i="1" s="1"/>
  <c r="DK87" i="1" a="1"/>
  <c r="DK87" i="1" s="1"/>
  <c r="DK88" i="1" a="1"/>
  <c r="DK88" i="1" s="1"/>
  <c r="DK124" i="1" a="1"/>
  <c r="DK124" i="1" s="1"/>
  <c r="DK163" i="1" a="1"/>
  <c r="DK163" i="1" s="1"/>
  <c r="DK91" i="1" a="1"/>
  <c r="DK91" i="1" s="1"/>
  <c r="DK93" i="1" a="1"/>
  <c r="DK93" i="1" s="1"/>
  <c r="DK94" i="1" a="1"/>
  <c r="DK94" i="1" s="1"/>
  <c r="DK95" i="1" a="1"/>
  <c r="DK95" i="1" s="1"/>
  <c r="DK96" i="1" a="1"/>
  <c r="DK96" i="1" s="1"/>
  <c r="DK97" i="1" a="1"/>
  <c r="DK97" i="1" s="1"/>
  <c r="DK98" i="1" a="1"/>
  <c r="DK98" i="1" s="1"/>
  <c r="DK99" i="1" a="1"/>
  <c r="DK99" i="1" s="1"/>
  <c r="DK100" i="1" a="1"/>
  <c r="DK100" i="1" s="1"/>
  <c r="DK101" i="1" a="1"/>
  <c r="DK101" i="1" s="1"/>
  <c r="DK102" i="1" a="1"/>
  <c r="DK102" i="1" s="1"/>
  <c r="DK103" i="1" a="1"/>
  <c r="DK103" i="1" s="1"/>
  <c r="DK104" i="1" a="1"/>
  <c r="DK104" i="1" s="1"/>
  <c r="DK105" i="1" a="1"/>
  <c r="DK105" i="1" s="1"/>
  <c r="DK106" i="1" a="1"/>
  <c r="DK106" i="1" s="1"/>
  <c r="DK107" i="1" a="1"/>
  <c r="DK107" i="1" s="1"/>
  <c r="DK108" i="1" a="1"/>
  <c r="DK108" i="1" s="1"/>
  <c r="DK109" i="1" a="1"/>
  <c r="DK109" i="1" s="1"/>
  <c r="DK110" i="1" a="1"/>
  <c r="DK110" i="1" s="1"/>
  <c r="DK111" i="1" a="1"/>
  <c r="DK111" i="1" s="1"/>
  <c r="DK112" i="1" a="1"/>
  <c r="DK112" i="1" s="1"/>
  <c r="DK113" i="1" a="1"/>
  <c r="DK113" i="1" s="1"/>
  <c r="DK89" i="1" a="1"/>
  <c r="DK89" i="1" s="1"/>
  <c r="DK115" i="1" a="1"/>
  <c r="DK115" i="1" s="1"/>
  <c r="DK116" i="1" a="1"/>
  <c r="DK116" i="1" s="1"/>
  <c r="DK117" i="1" a="1"/>
  <c r="DK117" i="1" s="1"/>
  <c r="DK118" i="1" a="1"/>
  <c r="DK118" i="1" s="1"/>
  <c r="DK119" i="1" a="1"/>
  <c r="DK119" i="1" s="1"/>
  <c r="DK67" i="1" a="1"/>
  <c r="DK67" i="1" s="1"/>
  <c r="DK70" i="1" a="1"/>
  <c r="DK70" i="1" s="1"/>
  <c r="DK122" i="1" a="1"/>
  <c r="DK122" i="1" s="1"/>
  <c r="DK123" i="1" a="1"/>
  <c r="DK123" i="1" s="1"/>
  <c r="DK153" i="1" a="1"/>
  <c r="DK153" i="1" s="1"/>
  <c r="DK125" i="1" a="1"/>
  <c r="DK125" i="1" s="1"/>
  <c r="DK126" i="1" a="1"/>
  <c r="DK126" i="1" s="1"/>
  <c r="DK14" i="1" a="1"/>
  <c r="DK14" i="1" s="1"/>
  <c r="DK128" i="1" a="1"/>
  <c r="DK128" i="1" s="1"/>
  <c r="DK129" i="1" a="1"/>
  <c r="DK129" i="1" s="1"/>
  <c r="DK130" i="1" a="1"/>
  <c r="DK130" i="1" s="1"/>
  <c r="DK131" i="1" a="1"/>
  <c r="DK131" i="1" s="1"/>
  <c r="DK132" i="1" a="1"/>
  <c r="DK132" i="1" s="1"/>
  <c r="DK133" i="1" a="1"/>
  <c r="DK133" i="1" s="1"/>
  <c r="DK134" i="1" a="1"/>
  <c r="DK134" i="1" s="1"/>
  <c r="DK135" i="1" a="1"/>
  <c r="DK135" i="1" s="1"/>
  <c r="DK136" i="1" a="1"/>
  <c r="DK136" i="1" s="1"/>
  <c r="DK137" i="1" a="1"/>
  <c r="DK137" i="1" s="1"/>
  <c r="DK138" i="1" a="1"/>
  <c r="DK138" i="1" s="1"/>
  <c r="DK139" i="1" a="1"/>
  <c r="DK139" i="1" s="1"/>
  <c r="DK140" i="1" a="1"/>
  <c r="DK140" i="1" s="1"/>
  <c r="DK141" i="1" a="1"/>
  <c r="DK141" i="1" s="1"/>
  <c r="DK142" i="1" a="1"/>
  <c r="DK142" i="1" s="1"/>
  <c r="DK143" i="1" a="1"/>
  <c r="DK143" i="1" s="1"/>
  <c r="DK144" i="1" a="1"/>
  <c r="DK144" i="1" s="1"/>
  <c r="DK145" i="1" a="1"/>
  <c r="DK145" i="1" s="1"/>
  <c r="DK146" i="1" a="1"/>
  <c r="DK146" i="1" s="1"/>
  <c r="DK147" i="1" a="1"/>
  <c r="DK147" i="1" s="1"/>
  <c r="DK148" i="1" a="1"/>
  <c r="DK148" i="1" s="1"/>
  <c r="DK149" i="1" a="1"/>
  <c r="DK149" i="1" s="1"/>
  <c r="DK150" i="1" a="1"/>
  <c r="DK150" i="1" s="1"/>
  <c r="DK151" i="1" a="1"/>
  <c r="DK151" i="1" s="1"/>
  <c r="DK152" i="1" a="1"/>
  <c r="DK152" i="1" s="1"/>
  <c r="DK120" i="1" a="1"/>
  <c r="DK120" i="1" s="1"/>
  <c r="DK154" i="1" a="1"/>
  <c r="DK154" i="1" s="1"/>
  <c r="DK92" i="1" a="1"/>
  <c r="DK92" i="1" s="1"/>
  <c r="DK156" i="1" a="1"/>
  <c r="DK156" i="1" s="1"/>
  <c r="DK157" i="1" a="1"/>
  <c r="DK157" i="1" s="1"/>
  <c r="DK158" i="1" a="1"/>
  <c r="DK158" i="1" s="1"/>
  <c r="DK159" i="1" a="1"/>
  <c r="DK159" i="1" s="1"/>
  <c r="DK160" i="1" a="1"/>
  <c r="DK160" i="1" s="1"/>
  <c r="DK161" i="1" a="1"/>
  <c r="DK161" i="1" s="1"/>
  <c r="DK162" i="1" a="1"/>
  <c r="DK162" i="1" s="1"/>
  <c r="DK65" i="1" a="1"/>
  <c r="DK65" i="1" s="1"/>
  <c r="DK164" i="1" a="1"/>
  <c r="DK164" i="1" s="1"/>
  <c r="DK165" i="1" a="1"/>
  <c r="DK165" i="1" s="1"/>
  <c r="DK166" i="1" a="1"/>
  <c r="DK166" i="1" s="1"/>
  <c r="DK167" i="1" a="1"/>
  <c r="DK167" i="1" s="1"/>
  <c r="DK168" i="1" a="1"/>
  <c r="DK168" i="1" s="1"/>
  <c r="DK169" i="1" a="1"/>
  <c r="DK169" i="1" s="1"/>
  <c r="DK170" i="1" a="1"/>
  <c r="DK170" i="1" s="1"/>
  <c r="DK171" i="1" a="1"/>
  <c r="DK171" i="1" s="1"/>
  <c r="DK172" i="1" a="1"/>
  <c r="DK172" i="1" s="1"/>
  <c r="DK173" i="1" a="1"/>
  <c r="DK173" i="1" s="1"/>
  <c r="DK174" i="1" a="1"/>
  <c r="DK174" i="1" s="1"/>
  <c r="DK175" i="1" a="1"/>
  <c r="DK175" i="1" s="1"/>
  <c r="DK176" i="1" a="1"/>
  <c r="DK176" i="1" s="1"/>
  <c r="DK177" i="1" a="1"/>
  <c r="DK177" i="1" s="1"/>
  <c r="DK178" i="1" a="1"/>
  <c r="DK178" i="1" s="1"/>
  <c r="DK179" i="1" a="1"/>
  <c r="DK179" i="1" s="1"/>
  <c r="DK155" i="1" a="1"/>
  <c r="DK155" i="1" s="1"/>
  <c r="DK181" i="1" a="1"/>
  <c r="DK181" i="1" s="1"/>
  <c r="DK182" i="1" a="1"/>
  <c r="DK182" i="1" s="1"/>
  <c r="DK183" i="1" a="1"/>
  <c r="DK183" i="1" s="1"/>
  <c r="DK191" i="1" a="1"/>
  <c r="DK191" i="1" s="1"/>
  <c r="DK185" i="1" a="1"/>
  <c r="DK185" i="1" s="1"/>
  <c r="DK19" i="1" a="1"/>
  <c r="DK19" i="1" s="1"/>
  <c r="DK187" i="1" a="1"/>
  <c r="DK187" i="1" s="1"/>
  <c r="DK188" i="1" a="1"/>
  <c r="DK188" i="1" s="1"/>
  <c r="DK189" i="1" a="1"/>
  <c r="DK189" i="1" s="1"/>
  <c r="DK190" i="1" a="1"/>
  <c r="DK190" i="1" s="1"/>
  <c r="DK35" i="1" a="1"/>
  <c r="DK35" i="1" s="1"/>
  <c r="DK192" i="1" a="1"/>
  <c r="DK192" i="1" s="1"/>
  <c r="DK193" i="1" a="1"/>
  <c r="DK193" i="1" s="1"/>
  <c r="DK194" i="1" a="1"/>
  <c r="DK194" i="1" s="1"/>
  <c r="DK195" i="1" a="1"/>
  <c r="DK195" i="1" s="1"/>
  <c r="DK196" i="1" a="1"/>
  <c r="DK196" i="1" s="1"/>
  <c r="DK197" i="1" a="1"/>
  <c r="DK197" i="1" s="1"/>
  <c r="DK198" i="1" a="1"/>
  <c r="DK198" i="1" s="1"/>
  <c r="DK199" i="1" a="1"/>
  <c r="DK199" i="1" s="1"/>
  <c r="DK200" i="1" a="1"/>
  <c r="DK200" i="1" s="1"/>
  <c r="DK201" i="1" a="1"/>
  <c r="DK201" i="1" s="1"/>
  <c r="DK255" i="1" a="1"/>
  <c r="DK255" i="1" s="1"/>
  <c r="DK203" i="1" a="1"/>
  <c r="DK203" i="1" s="1"/>
  <c r="DK204" i="1" a="1"/>
  <c r="DK204" i="1" s="1"/>
  <c r="DK205" i="1" a="1"/>
  <c r="DK205" i="1" s="1"/>
  <c r="DK206" i="1" a="1"/>
  <c r="DK206" i="1" s="1"/>
  <c r="DK207" i="1" a="1"/>
  <c r="DK207" i="1" s="1"/>
  <c r="DK208" i="1" a="1"/>
  <c r="DK208" i="1" s="1"/>
  <c r="DK114" i="1" a="1"/>
  <c r="DK114" i="1" s="1"/>
  <c r="DK210" i="1" a="1"/>
  <c r="DK210" i="1" s="1"/>
  <c r="DK211" i="1" a="1"/>
  <c r="DK211" i="1" s="1"/>
  <c r="DK212" i="1" a="1"/>
  <c r="DK212" i="1" s="1"/>
  <c r="DK213" i="1" a="1"/>
  <c r="DK213" i="1" s="1"/>
  <c r="DK214" i="1" a="1"/>
  <c r="DK214" i="1" s="1"/>
  <c r="DK215" i="1" a="1"/>
  <c r="DK215" i="1" s="1"/>
  <c r="DK216" i="1" a="1"/>
  <c r="DK216" i="1" s="1"/>
  <c r="DK217" i="1" a="1"/>
  <c r="DK217" i="1" s="1"/>
  <c r="DK218" i="1" a="1"/>
  <c r="DK218" i="1" s="1"/>
  <c r="DK219" i="1" a="1"/>
  <c r="DK219" i="1" s="1"/>
  <c r="DK220" i="1" a="1"/>
  <c r="DK220" i="1" s="1"/>
  <c r="DK221" i="1" a="1"/>
  <c r="DK221" i="1" s="1"/>
  <c r="DK222" i="1" a="1"/>
  <c r="DK222" i="1" s="1"/>
  <c r="DK223" i="1" a="1"/>
  <c r="DK223" i="1" s="1"/>
  <c r="DK224" i="1" a="1"/>
  <c r="DK224" i="1" s="1"/>
  <c r="DK225" i="1" a="1"/>
  <c r="DK225" i="1" s="1"/>
  <c r="DK226" i="1" a="1"/>
  <c r="DK226" i="1" s="1"/>
  <c r="DK227" i="1" a="1"/>
  <c r="DK227" i="1" s="1"/>
  <c r="DK228" i="1" a="1"/>
  <c r="DK228" i="1" s="1"/>
  <c r="DK229" i="1" a="1"/>
  <c r="DK229" i="1" s="1"/>
  <c r="DK230" i="1" a="1"/>
  <c r="DK230" i="1" s="1"/>
  <c r="DK231" i="1" a="1"/>
  <c r="DK231" i="1" s="1"/>
  <c r="DK232" i="1" a="1"/>
  <c r="DK232" i="1" s="1"/>
  <c r="DK233" i="1" a="1"/>
  <c r="DK233" i="1" s="1"/>
  <c r="DK234" i="1" a="1"/>
  <c r="DK234" i="1" s="1"/>
  <c r="DK235" i="1" a="1"/>
  <c r="DK235" i="1" s="1"/>
  <c r="DK236" i="1" a="1"/>
  <c r="DK236" i="1" s="1"/>
  <c r="DK237" i="1" a="1"/>
  <c r="DK237" i="1" s="1"/>
  <c r="DK238" i="1" a="1"/>
  <c r="DK238" i="1" s="1"/>
  <c r="DK239" i="1" a="1"/>
  <c r="DK239" i="1" s="1"/>
  <c r="DK240" i="1" a="1"/>
  <c r="DK240" i="1" s="1"/>
  <c r="DK241" i="1" a="1"/>
  <c r="DK241" i="1" s="1"/>
  <c r="DK242" i="1" a="1"/>
  <c r="DK242" i="1" s="1"/>
  <c r="DK243" i="1" a="1"/>
  <c r="DK243" i="1" s="1"/>
  <c r="DK244" i="1" a="1"/>
  <c r="DK244" i="1" s="1"/>
  <c r="DK245" i="1" a="1"/>
  <c r="DK245" i="1" s="1"/>
  <c r="DK246" i="1" a="1"/>
  <c r="DK246" i="1" s="1"/>
  <c r="DK247" i="1" a="1"/>
  <c r="DK247" i="1" s="1"/>
  <c r="DK248" i="1" a="1"/>
  <c r="DK248" i="1" s="1"/>
  <c r="DK249" i="1" a="1"/>
  <c r="DK249" i="1" s="1"/>
  <c r="DK250" i="1" a="1"/>
  <c r="DK250" i="1" s="1"/>
  <c r="DK251" i="1" a="1"/>
  <c r="DK251" i="1" s="1"/>
  <c r="DK252" i="1" a="1"/>
  <c r="DK252" i="1" s="1"/>
  <c r="DK253" i="1" a="1"/>
  <c r="DK253" i="1" s="1"/>
  <c r="DK254" i="1" a="1"/>
  <c r="DK254" i="1" s="1"/>
  <c r="DK202" i="1" a="1"/>
  <c r="DK202" i="1" s="1"/>
  <c r="DK256" i="1" a="1"/>
  <c r="DK256" i="1" s="1"/>
  <c r="DK257" i="1" a="1"/>
  <c r="DK257" i="1" s="1"/>
  <c r="DK258" i="1" a="1"/>
  <c r="DK258" i="1" s="1"/>
  <c r="DK259" i="1" a="1"/>
  <c r="DK259" i="1" s="1"/>
  <c r="DK260" i="1" a="1"/>
  <c r="DK260" i="1" s="1"/>
  <c r="DK261" i="1" a="1"/>
  <c r="DK261" i="1" s="1"/>
  <c r="DK262" i="1" a="1"/>
  <c r="DK262" i="1" s="1"/>
  <c r="DK263" i="1" a="1"/>
  <c r="DK263" i="1" s="1"/>
  <c r="DK264" i="1" a="1"/>
  <c r="DK264" i="1" s="1"/>
  <c r="DK265" i="1" a="1"/>
  <c r="DK265" i="1" s="1"/>
  <c r="DK266" i="1" a="1"/>
  <c r="DK266" i="1" s="1"/>
  <c r="DK267" i="1" a="1"/>
  <c r="DK267" i="1" s="1"/>
  <c r="DK268" i="1" a="1"/>
  <c r="DK268" i="1" s="1"/>
  <c r="DK269" i="1" a="1"/>
  <c r="DK269" i="1" s="1"/>
  <c r="DK270" i="1" a="1"/>
  <c r="DK270" i="1" s="1"/>
  <c r="DK271" i="1" a="1"/>
  <c r="DK271" i="1" s="1"/>
  <c r="C32" i="3" l="1"/>
  <c r="F31" i="3"/>
  <c r="E39" i="3"/>
  <c r="BJ23" i="1" a="1"/>
  <c r="BJ23" i="1" s="1"/>
  <c r="BY23" i="1" s="1"/>
  <c r="BJ24" i="1" a="1"/>
  <c r="BJ24" i="1" s="1"/>
  <c r="BY24" i="1" s="1"/>
  <c r="BJ25" i="1" a="1"/>
  <c r="BJ25" i="1" s="1"/>
  <c r="BY25" i="1" s="1"/>
  <c r="BJ26" i="1" a="1"/>
  <c r="BJ26" i="1" s="1"/>
  <c r="BY26" i="1" s="1"/>
  <c r="BJ27" i="1" a="1"/>
  <c r="BJ27" i="1" s="1"/>
  <c r="BY27" i="1" s="1"/>
  <c r="BJ28" i="1" a="1"/>
  <c r="BJ28" i="1" s="1"/>
  <c r="BY28" i="1" s="1"/>
  <c r="BJ29" i="1" a="1"/>
  <c r="BJ29" i="1" s="1"/>
  <c r="BY29" i="1" s="1"/>
  <c r="BJ30" i="1" a="1"/>
  <c r="BJ30" i="1" s="1"/>
  <c r="BY30" i="1" s="1"/>
  <c r="BJ31" i="1" a="1"/>
  <c r="BJ31" i="1" s="1"/>
  <c r="BY31" i="1" s="1"/>
  <c r="BJ32" i="1" a="1"/>
  <c r="BJ32" i="1" s="1"/>
  <c r="BY32" i="1" s="1"/>
  <c r="BJ33" i="1" a="1"/>
  <c r="BJ33" i="1" s="1"/>
  <c r="BY33" i="1" s="1"/>
  <c r="BJ34" i="1" a="1"/>
  <c r="BJ34" i="1" s="1"/>
  <c r="BY34" i="1" s="1"/>
  <c r="BJ36" i="1" a="1"/>
  <c r="BJ36" i="1" s="1"/>
  <c r="BY36" i="1" s="1"/>
  <c r="BJ37" i="1" a="1"/>
  <c r="BJ37" i="1" s="1"/>
  <c r="BY37" i="1" s="1"/>
  <c r="BJ38" i="1" a="1"/>
  <c r="BJ38" i="1" s="1"/>
  <c r="BY38" i="1" s="1"/>
  <c r="BJ39" i="1" a="1"/>
  <c r="BJ39" i="1" s="1"/>
  <c r="BY39" i="1" s="1"/>
  <c r="BJ40" i="1" a="1"/>
  <c r="BJ40" i="1" s="1"/>
  <c r="BY40" i="1" s="1"/>
  <c r="BJ41" i="1" a="1"/>
  <c r="BJ41" i="1" s="1"/>
  <c r="BY41" i="1" s="1"/>
  <c r="BJ42" i="1" a="1"/>
  <c r="BJ42" i="1" s="1"/>
  <c r="BY42" i="1" s="1"/>
  <c r="BJ43" i="1" a="1"/>
  <c r="BJ43" i="1" s="1"/>
  <c r="BY43" i="1" s="1"/>
  <c r="BJ44" i="1" a="1"/>
  <c r="BJ44" i="1" s="1"/>
  <c r="BY44" i="1" s="1"/>
  <c r="BJ45" i="1" a="1"/>
  <c r="BJ45" i="1" s="1"/>
  <c r="BY45" i="1" s="1"/>
  <c r="BJ46" i="1" a="1"/>
  <c r="BJ46" i="1" s="1"/>
  <c r="BY46" i="1" s="1"/>
  <c r="BJ47" i="1" a="1"/>
  <c r="BJ47" i="1" s="1"/>
  <c r="BY47" i="1" s="1"/>
  <c r="BJ48" i="1" a="1"/>
  <c r="BJ48" i="1" s="1"/>
  <c r="BY48" i="1" s="1"/>
  <c r="BJ49" i="1" a="1"/>
  <c r="BJ49" i="1" s="1"/>
  <c r="BY49" i="1" s="1"/>
  <c r="BJ50" i="1" a="1"/>
  <c r="BJ50" i="1" s="1"/>
  <c r="BY50" i="1" s="1"/>
  <c r="BJ51" i="1" a="1"/>
  <c r="BJ51" i="1" s="1"/>
  <c r="BY51" i="1" s="1"/>
  <c r="BJ52" i="1" a="1"/>
  <c r="BJ52" i="1" s="1"/>
  <c r="BY52" i="1" s="1"/>
  <c r="BJ53" i="1" a="1"/>
  <c r="BJ53" i="1" s="1"/>
  <c r="BY53" i="1" s="1"/>
  <c r="BJ54" i="1" a="1"/>
  <c r="BJ54" i="1" s="1"/>
  <c r="BY54" i="1" s="1"/>
  <c r="BJ56" i="1" a="1"/>
  <c r="BJ56" i="1" s="1"/>
  <c r="BY56" i="1" s="1"/>
  <c r="BJ57" i="1" a="1"/>
  <c r="BJ57" i="1" s="1"/>
  <c r="BY57" i="1" s="1"/>
  <c r="BJ58" i="1" a="1"/>
  <c r="BJ58" i="1" s="1"/>
  <c r="BY58" i="1" s="1"/>
  <c r="BJ59" i="1" a="1"/>
  <c r="BJ59" i="1" s="1"/>
  <c r="BY59" i="1" s="1"/>
  <c r="BJ60" i="1" a="1"/>
  <c r="BJ60" i="1" s="1"/>
  <c r="BY60" i="1" s="1"/>
  <c r="BJ61" i="1" a="1"/>
  <c r="BJ61" i="1" s="1"/>
  <c r="BY61" i="1" s="1"/>
  <c r="BJ62" i="1" a="1"/>
  <c r="BJ62" i="1" s="1"/>
  <c r="BY62" i="1" s="1"/>
  <c r="BJ63" i="1" a="1"/>
  <c r="BJ63" i="1" s="1"/>
  <c r="BY63" i="1" s="1"/>
  <c r="BJ64" i="1" a="1"/>
  <c r="BJ64" i="1" s="1"/>
  <c r="BY64" i="1" s="1"/>
  <c r="BJ127" i="1" a="1"/>
  <c r="BJ127" i="1" s="1"/>
  <c r="BY127" i="1" s="1"/>
  <c r="BJ66" i="1" a="1"/>
  <c r="BJ66" i="1" s="1"/>
  <c r="BY66" i="1" s="1"/>
  <c r="BJ68" i="1" a="1"/>
  <c r="BJ68" i="1" s="1"/>
  <c r="BY68" i="1" s="1"/>
  <c r="BJ69" i="1" a="1"/>
  <c r="BJ69" i="1" s="1"/>
  <c r="BY69" i="1" s="1"/>
  <c r="BJ184" i="1" a="1"/>
  <c r="BJ184" i="1" s="1"/>
  <c r="BY184" i="1" s="1"/>
  <c r="BJ71" i="1" a="1"/>
  <c r="BJ71" i="1" s="1"/>
  <c r="BY71" i="1" s="1"/>
  <c r="BJ72" i="1" a="1"/>
  <c r="BJ72" i="1" s="1"/>
  <c r="BY72" i="1" s="1"/>
  <c r="BJ73" i="1" a="1"/>
  <c r="BJ73" i="1" s="1"/>
  <c r="BY73" i="1" s="1"/>
  <c r="BJ74" i="1" a="1"/>
  <c r="BJ74" i="1" s="1"/>
  <c r="BY74" i="1" s="1"/>
  <c r="BJ75" i="1" a="1"/>
  <c r="BJ75" i="1" s="1"/>
  <c r="BY75" i="1" s="1"/>
  <c r="BJ76" i="1" a="1"/>
  <c r="BJ76" i="1" s="1"/>
  <c r="BY76" i="1" s="1"/>
  <c r="BJ77" i="1" a="1"/>
  <c r="BJ77" i="1" s="1"/>
  <c r="BY77" i="1" s="1"/>
  <c r="BJ78" i="1" a="1"/>
  <c r="BJ78" i="1" s="1"/>
  <c r="BY78" i="1" s="1"/>
  <c r="BJ79" i="1" a="1"/>
  <c r="BJ79" i="1" s="1"/>
  <c r="BY79" i="1" s="1"/>
  <c r="BJ80" i="1" a="1"/>
  <c r="BJ80" i="1" s="1"/>
  <c r="BY80" i="1" s="1"/>
  <c r="BJ81" i="1" a="1"/>
  <c r="BJ81" i="1" s="1"/>
  <c r="BY81" i="1" s="1"/>
  <c r="BJ82" i="1" a="1"/>
  <c r="BJ82" i="1" s="1"/>
  <c r="BY82" i="1" s="1"/>
  <c r="BJ83" i="1" a="1"/>
  <c r="BJ83" i="1" s="1"/>
  <c r="BY83" i="1" s="1"/>
  <c r="BJ84" i="1" a="1"/>
  <c r="BJ84" i="1" s="1"/>
  <c r="BY84" i="1" s="1"/>
  <c r="BJ85" i="1" a="1"/>
  <c r="BJ85" i="1" s="1"/>
  <c r="BY85" i="1" s="1"/>
  <c r="BJ86" i="1" a="1"/>
  <c r="BJ86" i="1" s="1"/>
  <c r="BY86" i="1" s="1"/>
  <c r="BJ87" i="1" a="1"/>
  <c r="BJ87" i="1" s="1"/>
  <c r="BY87" i="1" s="1"/>
  <c r="BJ88" i="1" a="1"/>
  <c r="BJ88" i="1" s="1"/>
  <c r="BY88" i="1" s="1"/>
  <c r="BY124" i="1"/>
  <c r="BJ163" i="1" a="1"/>
  <c r="BJ163" i="1" s="1"/>
  <c r="BY163" i="1" s="1"/>
  <c r="BJ91" i="1" a="1"/>
  <c r="BJ91" i="1" s="1"/>
  <c r="BY91" i="1" s="1"/>
  <c r="BJ93" i="1" a="1"/>
  <c r="BJ93" i="1" s="1"/>
  <c r="BY93" i="1" s="1"/>
  <c r="BJ94" i="1" a="1"/>
  <c r="BJ94" i="1" s="1"/>
  <c r="BY94" i="1" s="1"/>
  <c r="BJ95" i="1" a="1"/>
  <c r="BJ95" i="1" s="1"/>
  <c r="BY95" i="1" s="1"/>
  <c r="BJ96" i="1" a="1"/>
  <c r="BJ96" i="1" s="1"/>
  <c r="BY96" i="1" s="1"/>
  <c r="BJ97" i="1" a="1"/>
  <c r="BJ97" i="1" s="1"/>
  <c r="BY97" i="1" s="1"/>
  <c r="BJ98" i="1" a="1"/>
  <c r="BJ98" i="1" s="1"/>
  <c r="BY98" i="1" s="1"/>
  <c r="BJ99" i="1" a="1"/>
  <c r="BJ99" i="1" s="1"/>
  <c r="BY99" i="1" s="1"/>
  <c r="BJ100" i="1" a="1"/>
  <c r="BJ100" i="1" s="1"/>
  <c r="BY100" i="1" s="1"/>
  <c r="BJ101" i="1" a="1"/>
  <c r="BJ101" i="1" s="1"/>
  <c r="BY101" i="1" s="1"/>
  <c r="BJ102" i="1" a="1"/>
  <c r="BJ102" i="1" s="1"/>
  <c r="BY102" i="1" s="1"/>
  <c r="BJ103" i="1" a="1"/>
  <c r="BJ103" i="1" s="1"/>
  <c r="BY103" i="1" s="1"/>
  <c r="BJ104" i="1" a="1"/>
  <c r="BJ104" i="1" s="1"/>
  <c r="BY104" i="1" s="1"/>
  <c r="BJ105" i="1" a="1"/>
  <c r="BJ105" i="1" s="1"/>
  <c r="BY105" i="1" s="1"/>
  <c r="BJ106" i="1" a="1"/>
  <c r="BJ106" i="1" s="1"/>
  <c r="BY106" i="1" s="1"/>
  <c r="BJ107" i="1" a="1"/>
  <c r="BJ107" i="1" s="1"/>
  <c r="BY107" i="1" s="1"/>
  <c r="BJ108" i="1" a="1"/>
  <c r="BJ108" i="1" s="1"/>
  <c r="BY108" i="1" s="1"/>
  <c r="BJ109" i="1" a="1"/>
  <c r="BJ109" i="1" s="1"/>
  <c r="BY109" i="1" s="1"/>
  <c r="BJ110" i="1" a="1"/>
  <c r="BJ110" i="1" s="1"/>
  <c r="BY110" i="1" s="1"/>
  <c r="BJ111" i="1" a="1"/>
  <c r="BJ111" i="1" s="1"/>
  <c r="BY111" i="1" s="1"/>
  <c r="BJ112" i="1" a="1"/>
  <c r="BJ112" i="1" s="1"/>
  <c r="BY112" i="1" s="1"/>
  <c r="BJ89" i="1" a="1"/>
  <c r="BJ89" i="1" s="1"/>
  <c r="BY89" i="1" s="1"/>
  <c r="BJ115" i="1" a="1"/>
  <c r="BJ115" i="1" s="1"/>
  <c r="BY115" i="1" s="1"/>
  <c r="BJ116" i="1" a="1"/>
  <c r="BJ116" i="1" s="1"/>
  <c r="BY116" i="1" s="1"/>
  <c r="BJ117" i="1" a="1"/>
  <c r="BJ117" i="1" s="1"/>
  <c r="BY117" i="1" s="1"/>
  <c r="BJ118" i="1" a="1"/>
  <c r="BJ118" i="1" s="1"/>
  <c r="BY118" i="1" s="1"/>
  <c r="BJ119" i="1" a="1"/>
  <c r="BJ119" i="1" s="1"/>
  <c r="BY119" i="1" s="1"/>
  <c r="BJ67" i="1" a="1"/>
  <c r="BJ67" i="1" s="1"/>
  <c r="BY67" i="1" s="1"/>
  <c r="BJ122" i="1" a="1"/>
  <c r="BJ122" i="1" s="1"/>
  <c r="BY122" i="1" s="1"/>
  <c r="BJ123" i="1" a="1"/>
  <c r="BJ123" i="1" s="1"/>
  <c r="BY123" i="1" s="1"/>
  <c r="BJ153" i="1" a="1"/>
  <c r="BJ153" i="1" s="1"/>
  <c r="BY153" i="1" s="1"/>
  <c r="BJ125" i="1" a="1"/>
  <c r="BJ125" i="1" s="1"/>
  <c r="BY125" i="1" s="1"/>
  <c r="BJ126" i="1" a="1"/>
  <c r="BJ126" i="1" s="1"/>
  <c r="BY126" i="1" s="1"/>
  <c r="BJ128" i="1" a="1"/>
  <c r="BJ128" i="1" s="1"/>
  <c r="BY128" i="1" s="1"/>
  <c r="BJ129" i="1" a="1"/>
  <c r="BJ129" i="1" s="1"/>
  <c r="BY129" i="1" s="1"/>
  <c r="BJ130" i="1" a="1"/>
  <c r="BJ130" i="1" s="1"/>
  <c r="BY130" i="1" s="1"/>
  <c r="BJ131" i="1" a="1"/>
  <c r="BJ131" i="1" s="1"/>
  <c r="BY131" i="1" s="1"/>
  <c r="BJ133" i="1" a="1"/>
  <c r="BJ133" i="1" s="1"/>
  <c r="BY133" i="1" s="1"/>
  <c r="BJ134" i="1" a="1"/>
  <c r="BJ134" i="1" s="1"/>
  <c r="BY134" i="1" s="1"/>
  <c r="BJ135" i="1" a="1"/>
  <c r="BJ135" i="1" s="1"/>
  <c r="BY135" i="1" s="1"/>
  <c r="BJ136" i="1" a="1"/>
  <c r="BJ136" i="1" s="1"/>
  <c r="BY136" i="1" s="1"/>
  <c r="BJ137" i="1" a="1"/>
  <c r="BJ137" i="1" s="1"/>
  <c r="BY137" i="1" s="1"/>
  <c r="BJ138" i="1" a="1"/>
  <c r="BJ138" i="1" s="1"/>
  <c r="BY138" i="1" s="1"/>
  <c r="BJ139" i="1" a="1"/>
  <c r="BJ139" i="1" s="1"/>
  <c r="BY139" i="1" s="1"/>
  <c r="BJ140" i="1" a="1"/>
  <c r="BJ140" i="1" s="1"/>
  <c r="BY140" i="1" s="1"/>
  <c r="BJ141" i="1" a="1"/>
  <c r="BJ141" i="1" s="1"/>
  <c r="BY141" i="1" s="1"/>
  <c r="BJ142" i="1" a="1"/>
  <c r="BJ142" i="1" s="1"/>
  <c r="BY142" i="1" s="1"/>
  <c r="BJ143" i="1" a="1"/>
  <c r="BJ143" i="1" s="1"/>
  <c r="BY143" i="1" s="1"/>
  <c r="BJ144" i="1" a="1"/>
  <c r="BJ144" i="1" s="1"/>
  <c r="BY144" i="1" s="1"/>
  <c r="BJ145" i="1" a="1"/>
  <c r="BJ145" i="1" s="1"/>
  <c r="BY145" i="1" s="1"/>
  <c r="BJ146" i="1" a="1"/>
  <c r="BJ146" i="1" s="1"/>
  <c r="BY146" i="1" s="1"/>
  <c r="BJ147" i="1" a="1"/>
  <c r="BJ147" i="1" s="1"/>
  <c r="BY147" i="1" s="1"/>
  <c r="BJ148" i="1" a="1"/>
  <c r="BJ148" i="1" s="1"/>
  <c r="BY148" i="1" s="1"/>
  <c r="BJ149" i="1" a="1"/>
  <c r="BJ149" i="1" s="1"/>
  <c r="BY149" i="1" s="1"/>
  <c r="BJ150" i="1" a="1"/>
  <c r="BJ150" i="1" s="1"/>
  <c r="BY150" i="1" s="1"/>
  <c r="BJ151" i="1" a="1"/>
  <c r="BJ151" i="1" s="1"/>
  <c r="BY151" i="1" s="1"/>
  <c r="BJ152" i="1" a="1"/>
  <c r="BJ152" i="1" s="1"/>
  <c r="BY152" i="1" s="1"/>
  <c r="BJ120" i="1" a="1"/>
  <c r="BJ120" i="1" s="1"/>
  <c r="BY120" i="1" s="1"/>
  <c r="BJ154" i="1" a="1"/>
  <c r="BJ154" i="1" s="1"/>
  <c r="BY154" i="1" s="1"/>
  <c r="BJ92" i="1" a="1"/>
  <c r="BJ92" i="1" s="1"/>
  <c r="BY92" i="1" s="1"/>
  <c r="BJ156" i="1" a="1"/>
  <c r="BJ156" i="1" s="1"/>
  <c r="BY156" i="1" s="1"/>
  <c r="BJ157" i="1" a="1"/>
  <c r="BJ157" i="1" s="1"/>
  <c r="BY157" i="1" s="1"/>
  <c r="BJ158" i="1" a="1"/>
  <c r="BJ158" i="1" s="1"/>
  <c r="BY158" i="1" s="1"/>
  <c r="BJ159" i="1" a="1"/>
  <c r="BJ159" i="1" s="1"/>
  <c r="BY159" i="1" s="1"/>
  <c r="BJ160" i="1" a="1"/>
  <c r="BJ160" i="1" s="1"/>
  <c r="BY160" i="1" s="1"/>
  <c r="BJ161" i="1" a="1"/>
  <c r="BJ161" i="1" s="1"/>
  <c r="BY161" i="1" s="1"/>
  <c r="BJ162" i="1" a="1"/>
  <c r="BJ162" i="1" s="1"/>
  <c r="BY162" i="1" s="1"/>
  <c r="BJ164" i="1" a="1"/>
  <c r="BJ164" i="1" s="1"/>
  <c r="BY164" i="1" s="1"/>
  <c r="BJ165" i="1" a="1"/>
  <c r="BJ165" i="1" s="1"/>
  <c r="BY165" i="1" s="1"/>
  <c r="BJ166" i="1" a="1"/>
  <c r="BJ166" i="1" s="1"/>
  <c r="BY166" i="1" s="1"/>
  <c r="BJ167" i="1" a="1"/>
  <c r="BJ167" i="1" s="1"/>
  <c r="BY167" i="1" s="1"/>
  <c r="BJ168" i="1" a="1"/>
  <c r="BJ168" i="1" s="1"/>
  <c r="BY168" i="1" s="1"/>
  <c r="BJ169" i="1" a="1"/>
  <c r="BJ169" i="1" s="1"/>
  <c r="BY169" i="1" s="1"/>
  <c r="BJ170" i="1" a="1"/>
  <c r="BJ170" i="1" s="1"/>
  <c r="BY170" i="1" s="1"/>
  <c r="BJ171" i="1" a="1"/>
  <c r="BJ171" i="1" s="1"/>
  <c r="BY171" i="1" s="1"/>
  <c r="BJ172" i="1" a="1"/>
  <c r="BJ172" i="1" s="1"/>
  <c r="BY172" i="1" s="1"/>
  <c r="BJ173" i="1" a="1"/>
  <c r="BJ173" i="1" s="1"/>
  <c r="BY173" i="1" s="1"/>
  <c r="BJ174" i="1" a="1"/>
  <c r="BJ174" i="1" s="1"/>
  <c r="BY174" i="1" s="1"/>
  <c r="BJ175" i="1" a="1"/>
  <c r="BJ175" i="1" s="1"/>
  <c r="BY175" i="1" s="1"/>
  <c r="BJ176" i="1" a="1"/>
  <c r="BJ176" i="1" s="1"/>
  <c r="BY176" i="1" s="1"/>
  <c r="BJ177" i="1" a="1"/>
  <c r="BJ177" i="1" s="1"/>
  <c r="BY177" i="1" s="1"/>
  <c r="BJ178" i="1" a="1"/>
  <c r="BJ178" i="1" s="1"/>
  <c r="BY178" i="1" s="1"/>
  <c r="BJ179" i="1" a="1"/>
  <c r="BJ179" i="1" s="1"/>
  <c r="BY179" i="1" s="1"/>
  <c r="EL155" i="1"/>
  <c r="BJ181" i="1" a="1"/>
  <c r="BJ181" i="1" s="1"/>
  <c r="BY181" i="1" s="1"/>
  <c r="BJ182" i="1" a="1"/>
  <c r="BJ182" i="1" s="1"/>
  <c r="BY182" i="1" s="1"/>
  <c r="BJ183" i="1" a="1"/>
  <c r="BJ183" i="1" s="1"/>
  <c r="BY183" i="1" s="1"/>
  <c r="BJ191" i="1" a="1"/>
  <c r="BJ191" i="1" s="1"/>
  <c r="BY191" i="1" s="1"/>
  <c r="BJ185" i="1" a="1"/>
  <c r="BJ185" i="1" s="1"/>
  <c r="BY185" i="1" s="1"/>
  <c r="BJ19" i="1" a="1"/>
  <c r="BJ19" i="1" s="1"/>
  <c r="BY19" i="1" s="1"/>
  <c r="BJ187" i="1" a="1"/>
  <c r="BJ187" i="1" s="1"/>
  <c r="BY187" i="1" s="1"/>
  <c r="BJ188" i="1" a="1"/>
  <c r="BJ188" i="1" s="1"/>
  <c r="BY188" i="1" s="1"/>
  <c r="BJ189" i="1" a="1"/>
  <c r="BJ189" i="1" s="1"/>
  <c r="BY189" i="1" s="1"/>
  <c r="BJ190" i="1" a="1"/>
  <c r="BJ190" i="1" s="1"/>
  <c r="BY190" i="1" s="1"/>
  <c r="BJ35" i="1" a="1"/>
  <c r="BJ35" i="1" s="1"/>
  <c r="BY35" i="1" s="1"/>
  <c r="BJ192" i="1" a="1"/>
  <c r="BJ192" i="1" s="1"/>
  <c r="BY192" i="1" s="1"/>
  <c r="BJ193" i="1" a="1"/>
  <c r="BJ193" i="1" s="1"/>
  <c r="BY193" i="1" s="1"/>
  <c r="BJ194" i="1" a="1"/>
  <c r="BJ194" i="1" s="1"/>
  <c r="BY194" i="1" s="1"/>
  <c r="BJ195" i="1" a="1"/>
  <c r="BJ195" i="1" s="1"/>
  <c r="BY195" i="1" s="1"/>
  <c r="BJ196" i="1" a="1"/>
  <c r="BJ196" i="1" s="1"/>
  <c r="BY196" i="1" s="1"/>
  <c r="BJ197" i="1" a="1"/>
  <c r="BJ197" i="1" s="1"/>
  <c r="BY197" i="1" s="1"/>
  <c r="BJ198" i="1" a="1"/>
  <c r="BJ198" i="1" s="1"/>
  <c r="BY198" i="1" s="1"/>
  <c r="BJ199" i="1" a="1"/>
  <c r="BJ199" i="1" s="1"/>
  <c r="BY199" i="1" s="1"/>
  <c r="BJ200" i="1" a="1"/>
  <c r="BJ200" i="1" s="1"/>
  <c r="BY200" i="1" s="1"/>
  <c r="BJ201" i="1" a="1"/>
  <c r="BJ201" i="1" s="1"/>
  <c r="BY201" i="1" s="1"/>
  <c r="BJ255" i="1" a="1"/>
  <c r="BJ255" i="1" s="1"/>
  <c r="BY255" i="1" s="1"/>
  <c r="BJ203" i="1" a="1"/>
  <c r="BJ203" i="1" s="1"/>
  <c r="BY203" i="1" s="1"/>
  <c r="BJ204" i="1" a="1"/>
  <c r="BJ204" i="1" s="1"/>
  <c r="BY204" i="1" s="1"/>
  <c r="BJ205" i="1" a="1"/>
  <c r="BJ205" i="1" s="1"/>
  <c r="BY205" i="1" s="1"/>
  <c r="BJ206" i="1" a="1"/>
  <c r="BJ206" i="1" s="1"/>
  <c r="BY206" i="1" s="1"/>
  <c r="BJ207" i="1" a="1"/>
  <c r="BJ207" i="1" s="1"/>
  <c r="BY207" i="1" s="1"/>
  <c r="BJ208" i="1" a="1"/>
  <c r="BJ208" i="1" s="1"/>
  <c r="BY208" i="1" s="1"/>
  <c r="BJ114" i="1" a="1"/>
  <c r="BJ114" i="1" s="1"/>
  <c r="BY114" i="1" s="1"/>
  <c r="BJ210" i="1" a="1"/>
  <c r="BJ210" i="1" s="1"/>
  <c r="BY210" i="1" s="1"/>
  <c r="BJ211" i="1" a="1"/>
  <c r="BJ211" i="1" s="1"/>
  <c r="BY211" i="1" s="1"/>
  <c r="BJ212" i="1" a="1"/>
  <c r="BJ212" i="1" s="1"/>
  <c r="BY212" i="1" s="1"/>
  <c r="BJ213" i="1" a="1"/>
  <c r="BJ213" i="1" s="1"/>
  <c r="BY213" i="1" s="1"/>
  <c r="BJ214" i="1" a="1"/>
  <c r="BJ214" i="1" s="1"/>
  <c r="BY214" i="1" s="1"/>
  <c r="BJ215" i="1" a="1"/>
  <c r="BJ215" i="1" s="1"/>
  <c r="BY215" i="1" s="1"/>
  <c r="BJ216" i="1" a="1"/>
  <c r="BJ216" i="1" s="1"/>
  <c r="BY216" i="1" s="1"/>
  <c r="BJ217" i="1" a="1"/>
  <c r="BJ217" i="1" s="1"/>
  <c r="BY217" i="1" s="1"/>
  <c r="BJ218" i="1" a="1"/>
  <c r="BJ218" i="1" s="1"/>
  <c r="BY218" i="1" s="1"/>
  <c r="BJ219" i="1" a="1"/>
  <c r="BJ219" i="1" s="1"/>
  <c r="BY219" i="1" s="1"/>
  <c r="BJ220" i="1" a="1"/>
  <c r="BJ220" i="1" s="1"/>
  <c r="BY220" i="1" s="1"/>
  <c r="BJ221" i="1" a="1"/>
  <c r="BJ221" i="1" s="1"/>
  <c r="BY221" i="1" s="1"/>
  <c r="BJ222" i="1" a="1"/>
  <c r="BJ222" i="1" s="1"/>
  <c r="BY222" i="1" s="1"/>
  <c r="BJ223" i="1" a="1"/>
  <c r="BJ223" i="1" s="1"/>
  <c r="BY223" i="1" s="1"/>
  <c r="BJ224" i="1" a="1"/>
  <c r="BJ224" i="1" s="1"/>
  <c r="BY224" i="1" s="1"/>
  <c r="BJ225" i="1" a="1"/>
  <c r="BJ225" i="1" s="1"/>
  <c r="BY225" i="1" s="1"/>
  <c r="BJ226" i="1" a="1"/>
  <c r="BJ226" i="1" s="1"/>
  <c r="BY226" i="1" s="1"/>
  <c r="BJ227" i="1" a="1"/>
  <c r="BJ227" i="1" s="1"/>
  <c r="BY227" i="1" s="1"/>
  <c r="BJ228" i="1" a="1"/>
  <c r="BJ228" i="1" s="1"/>
  <c r="BY228" i="1" s="1"/>
  <c r="BJ229" i="1" a="1"/>
  <c r="BJ229" i="1" s="1"/>
  <c r="BY229" i="1" s="1"/>
  <c r="BJ230" i="1" a="1"/>
  <c r="BJ230" i="1" s="1"/>
  <c r="BY230" i="1" s="1"/>
  <c r="BJ231" i="1" a="1"/>
  <c r="BJ231" i="1" s="1"/>
  <c r="BY231" i="1" s="1"/>
  <c r="BJ232" i="1" a="1"/>
  <c r="BJ232" i="1" s="1"/>
  <c r="BY232" i="1" s="1"/>
  <c r="BJ233" i="1" a="1"/>
  <c r="BJ233" i="1" s="1"/>
  <c r="BY233" i="1" s="1"/>
  <c r="BJ234" i="1" a="1"/>
  <c r="BJ234" i="1" s="1"/>
  <c r="BY234" i="1" s="1"/>
  <c r="BJ235" i="1" a="1"/>
  <c r="BJ235" i="1" s="1"/>
  <c r="BY235" i="1" s="1"/>
  <c r="BJ237" i="1" a="1"/>
  <c r="BJ237" i="1" s="1"/>
  <c r="BY237" i="1" s="1"/>
  <c r="BJ239" i="1" a="1"/>
  <c r="BJ239" i="1" s="1"/>
  <c r="BY239" i="1" s="1"/>
  <c r="BJ240" i="1" a="1"/>
  <c r="BJ240" i="1" s="1"/>
  <c r="BY240" i="1" s="1"/>
  <c r="BJ241" i="1" a="1"/>
  <c r="BJ241" i="1" s="1"/>
  <c r="BY241" i="1" s="1"/>
  <c r="BJ242" i="1" a="1"/>
  <c r="BJ242" i="1" s="1"/>
  <c r="BY242" i="1" s="1"/>
  <c r="BJ243" i="1" a="1"/>
  <c r="BJ243" i="1" s="1"/>
  <c r="BY243" i="1" s="1"/>
  <c r="BJ244" i="1" a="1"/>
  <c r="BJ244" i="1" s="1"/>
  <c r="BY244" i="1" s="1"/>
  <c r="BJ246" i="1" a="1"/>
  <c r="BJ246" i="1" s="1"/>
  <c r="BY246" i="1" s="1"/>
  <c r="BJ247" i="1" a="1"/>
  <c r="BJ247" i="1" s="1"/>
  <c r="BY247" i="1" s="1"/>
  <c r="BJ248" i="1" a="1"/>
  <c r="BJ248" i="1" s="1"/>
  <c r="BY248" i="1" s="1"/>
  <c r="BJ249" i="1" a="1"/>
  <c r="BJ249" i="1" s="1"/>
  <c r="BY249" i="1" s="1"/>
  <c r="BJ250" i="1" a="1"/>
  <c r="BJ250" i="1" s="1"/>
  <c r="BY250" i="1" s="1"/>
  <c r="BJ251" i="1" a="1"/>
  <c r="BJ251" i="1" s="1"/>
  <c r="BY251" i="1" s="1"/>
  <c r="BJ252" i="1" a="1"/>
  <c r="BJ252" i="1" s="1"/>
  <c r="BY252" i="1" s="1"/>
  <c r="BJ253" i="1" a="1"/>
  <c r="BJ253" i="1" s="1"/>
  <c r="BY253" i="1" s="1"/>
  <c r="BJ254" i="1" a="1"/>
  <c r="BJ254" i="1" s="1"/>
  <c r="BY254" i="1" s="1"/>
  <c r="BJ202" i="1" a="1"/>
  <c r="BJ202" i="1" s="1"/>
  <c r="BY202" i="1" s="1"/>
  <c r="BJ256" i="1" a="1"/>
  <c r="BJ256" i="1" s="1"/>
  <c r="BY256" i="1" s="1"/>
  <c r="BJ257" i="1" a="1"/>
  <c r="BJ257" i="1" s="1"/>
  <c r="BY257" i="1" s="1"/>
  <c r="BJ258" i="1" a="1"/>
  <c r="BJ258" i="1" s="1"/>
  <c r="BY258" i="1" s="1"/>
  <c r="BJ259" i="1" a="1"/>
  <c r="BJ259" i="1" s="1"/>
  <c r="BY259" i="1" s="1"/>
  <c r="BJ260" i="1" a="1"/>
  <c r="BJ260" i="1" s="1"/>
  <c r="BY260" i="1" s="1"/>
  <c r="BJ261" i="1" a="1"/>
  <c r="BJ261" i="1" s="1"/>
  <c r="BY261" i="1" s="1"/>
  <c r="BJ262" i="1" a="1"/>
  <c r="BJ262" i="1" s="1"/>
  <c r="BY262" i="1" s="1"/>
  <c r="BJ263" i="1" a="1"/>
  <c r="BJ263" i="1" s="1"/>
  <c r="BY263" i="1" s="1"/>
  <c r="BJ264" i="1" a="1"/>
  <c r="BJ264" i="1" s="1"/>
  <c r="BY264" i="1" s="1"/>
  <c r="BJ265" i="1" a="1"/>
  <c r="BJ265" i="1" s="1"/>
  <c r="BY265" i="1" s="1"/>
  <c r="BJ266" i="1" a="1"/>
  <c r="BJ266" i="1" s="1"/>
  <c r="BY266" i="1" s="1"/>
  <c r="BJ267" i="1" a="1"/>
  <c r="BJ267" i="1" s="1"/>
  <c r="BY267" i="1" s="1"/>
  <c r="BJ268" i="1" a="1"/>
  <c r="BJ268" i="1" s="1"/>
  <c r="BY268" i="1" s="1"/>
  <c r="BJ269" i="1" a="1"/>
  <c r="BJ269" i="1" s="1"/>
  <c r="BY269" i="1" s="1"/>
  <c r="BJ270" i="1" a="1"/>
  <c r="BJ270" i="1" s="1"/>
  <c r="BY270" i="1" s="1"/>
  <c r="BJ271" i="1" a="1"/>
  <c r="BJ271" i="1" s="1"/>
  <c r="BY271" i="1" s="1"/>
  <c r="BW271" i="1" l="1"/>
  <c r="BW259" i="1"/>
  <c r="BW251" i="1"/>
  <c r="BW247" i="1"/>
  <c r="BW242" i="1"/>
  <c r="BW237" i="1"/>
  <c r="BW232" i="1"/>
  <c r="BW228" i="1"/>
  <c r="BW224" i="1"/>
  <c r="BW220" i="1"/>
  <c r="BW216" i="1"/>
  <c r="BW212" i="1"/>
  <c r="BW208" i="1"/>
  <c r="BW204" i="1"/>
  <c r="BW200" i="1"/>
  <c r="BW196" i="1"/>
  <c r="BW192" i="1"/>
  <c r="BW188" i="1"/>
  <c r="BW191" i="1"/>
  <c r="BW176" i="1"/>
  <c r="BW172" i="1"/>
  <c r="BW168" i="1"/>
  <c r="BW164" i="1"/>
  <c r="BW159" i="1"/>
  <c r="BW92" i="1"/>
  <c r="BW151" i="1"/>
  <c r="BW147" i="1"/>
  <c r="BW143" i="1"/>
  <c r="BW139" i="1"/>
  <c r="BW135" i="1"/>
  <c r="BW130" i="1"/>
  <c r="BW125" i="1"/>
  <c r="BW67" i="1"/>
  <c r="BW116" i="1"/>
  <c r="BW111" i="1"/>
  <c r="BW107" i="1"/>
  <c r="BW103" i="1"/>
  <c r="BW99" i="1"/>
  <c r="BW95" i="1"/>
  <c r="BW163" i="1"/>
  <c r="BW86" i="1"/>
  <c r="BW82" i="1"/>
  <c r="BW78" i="1"/>
  <c r="BW74" i="1"/>
  <c r="BW184" i="1"/>
  <c r="BW127" i="1"/>
  <c r="BW61" i="1"/>
  <c r="BW57" i="1"/>
  <c r="BW52" i="1"/>
  <c r="BW48" i="1"/>
  <c r="BW44" i="1"/>
  <c r="BW40" i="1"/>
  <c r="BW36" i="1"/>
  <c r="BW31" i="1"/>
  <c r="BW27" i="1"/>
  <c r="BW23" i="1"/>
  <c r="BW267" i="1"/>
  <c r="BW202" i="1"/>
  <c r="BW270" i="1"/>
  <c r="BW266" i="1"/>
  <c r="BW262" i="1"/>
  <c r="BW258" i="1"/>
  <c r="BW254" i="1"/>
  <c r="BW250" i="1"/>
  <c r="BW246" i="1"/>
  <c r="BW241" i="1"/>
  <c r="BW235" i="1"/>
  <c r="BW231" i="1"/>
  <c r="BW227" i="1"/>
  <c r="BW223" i="1"/>
  <c r="BW219" i="1"/>
  <c r="BW215" i="1"/>
  <c r="BW211" i="1"/>
  <c r="BW207" i="1"/>
  <c r="BW203" i="1"/>
  <c r="BW199" i="1"/>
  <c r="BW195" i="1"/>
  <c r="BW35" i="1"/>
  <c r="BW187" i="1"/>
  <c r="BW183" i="1"/>
  <c r="BW179" i="1"/>
  <c r="BW175" i="1"/>
  <c r="BW171" i="1"/>
  <c r="BW167" i="1"/>
  <c r="BW162" i="1"/>
  <c r="BW158" i="1"/>
  <c r="BW154" i="1"/>
  <c r="BW150" i="1"/>
  <c r="BW146" i="1"/>
  <c r="BW142" i="1"/>
  <c r="BW138" i="1"/>
  <c r="BW134" i="1"/>
  <c r="BW129" i="1"/>
  <c r="BW153" i="1"/>
  <c r="BW119" i="1"/>
  <c r="BW115" i="1"/>
  <c r="BW110" i="1"/>
  <c r="BW106" i="1"/>
  <c r="BW102" i="1"/>
  <c r="BW98" i="1"/>
  <c r="BW94" i="1"/>
  <c r="BW124" i="1"/>
  <c r="BW85" i="1"/>
  <c r="BW81" i="1"/>
  <c r="BW77" i="1"/>
  <c r="BW73" i="1"/>
  <c r="BW69" i="1"/>
  <c r="BW64" i="1"/>
  <c r="BW60" i="1"/>
  <c r="BW56" i="1"/>
  <c r="BW51" i="1"/>
  <c r="BW47" i="1"/>
  <c r="BW43" i="1"/>
  <c r="BW39" i="1"/>
  <c r="BW34" i="1"/>
  <c r="BW30" i="1"/>
  <c r="BW26" i="1"/>
  <c r="BW269" i="1"/>
  <c r="BW261" i="1"/>
  <c r="BW253" i="1"/>
  <c r="BW244" i="1"/>
  <c r="BW240" i="1"/>
  <c r="BW234" i="1"/>
  <c r="BW230" i="1"/>
  <c r="BW226" i="1"/>
  <c r="BW222" i="1"/>
  <c r="BW218" i="1"/>
  <c r="BW214" i="1"/>
  <c r="BW210" i="1"/>
  <c r="BW206" i="1"/>
  <c r="BW255" i="1"/>
  <c r="BW198" i="1"/>
  <c r="BW194" i="1"/>
  <c r="BW190" i="1"/>
  <c r="BW19" i="1"/>
  <c r="BW182" i="1"/>
  <c r="BW178" i="1"/>
  <c r="BW174" i="1"/>
  <c r="BW170" i="1"/>
  <c r="BW166" i="1"/>
  <c r="BW161" i="1"/>
  <c r="BW157" i="1"/>
  <c r="BW120" i="1"/>
  <c r="BW149" i="1"/>
  <c r="BW145" i="1"/>
  <c r="BW141" i="1"/>
  <c r="BW137" i="1"/>
  <c r="BW133" i="1"/>
  <c r="BW128" i="1"/>
  <c r="BW123" i="1"/>
  <c r="BW118" i="1"/>
  <c r="BW89" i="1"/>
  <c r="BW109" i="1"/>
  <c r="BW105" i="1"/>
  <c r="BW101" i="1"/>
  <c r="BW97" i="1"/>
  <c r="BW93" i="1"/>
  <c r="BW88" i="1"/>
  <c r="BW84" i="1"/>
  <c r="BW80" i="1"/>
  <c r="BW76" i="1"/>
  <c r="BW72" i="1"/>
  <c r="BW68" i="1"/>
  <c r="BW63" i="1"/>
  <c r="BW59" i="1"/>
  <c r="BW54" i="1"/>
  <c r="BW50" i="1"/>
  <c r="BW46" i="1"/>
  <c r="BW42" i="1"/>
  <c r="BW38" i="1"/>
  <c r="BW33" i="1"/>
  <c r="BW29" i="1"/>
  <c r="BW25" i="1"/>
  <c r="BW263" i="1"/>
  <c r="BW265" i="1"/>
  <c r="BW257" i="1"/>
  <c r="BW249" i="1"/>
  <c r="BW268" i="1"/>
  <c r="BW264" i="1"/>
  <c r="BW260" i="1"/>
  <c r="BW256" i="1"/>
  <c r="BW252" i="1"/>
  <c r="BW248" i="1"/>
  <c r="BW243" i="1"/>
  <c r="BW239" i="1"/>
  <c r="BW233" i="1"/>
  <c r="BW229" i="1"/>
  <c r="BW225" i="1"/>
  <c r="BW221" i="1"/>
  <c r="BW217" i="1"/>
  <c r="BW213" i="1"/>
  <c r="BW114" i="1"/>
  <c r="BW205" i="1"/>
  <c r="BW201" i="1"/>
  <c r="BW197" i="1"/>
  <c r="BW193" i="1"/>
  <c r="BW189" i="1"/>
  <c r="BW185" i="1"/>
  <c r="BW181" i="1"/>
  <c r="BW177" i="1"/>
  <c r="BW173" i="1"/>
  <c r="BW169" i="1"/>
  <c r="BW165" i="1"/>
  <c r="BW160" i="1"/>
  <c r="BW156" i="1"/>
  <c r="BW152" i="1"/>
  <c r="BW148" i="1"/>
  <c r="BW144" i="1"/>
  <c r="BW140" i="1"/>
  <c r="BW136" i="1"/>
  <c r="BW131" i="1"/>
  <c r="BW126" i="1"/>
  <c r="BW122" i="1"/>
  <c r="BW117" i="1"/>
  <c r="BW112" i="1"/>
  <c r="BW108" i="1"/>
  <c r="BW104" i="1"/>
  <c r="BW100" i="1"/>
  <c r="BW96" i="1"/>
  <c r="BW91" i="1"/>
  <c r="BW87" i="1"/>
  <c r="BW83" i="1"/>
  <c r="BW79" i="1"/>
  <c r="BW75" i="1"/>
  <c r="BW71" i="1"/>
  <c r="BW66" i="1"/>
  <c r="BW62" i="1"/>
  <c r="BW58" i="1"/>
  <c r="BW53" i="1"/>
  <c r="BW49" i="1"/>
  <c r="BW45" i="1"/>
  <c r="BW41" i="1"/>
  <c r="BW37" i="1"/>
  <c r="BW32" i="1"/>
  <c r="BW28" i="1"/>
  <c r="BW24" i="1"/>
  <c r="EL269" i="1"/>
  <c r="EN269" i="1" s="1"/>
  <c r="EP269" i="1" s="1"/>
  <c r="EL265" i="1"/>
  <c r="EN265" i="1" s="1"/>
  <c r="EP265" i="1" s="1"/>
  <c r="EL261" i="1"/>
  <c r="EN261" i="1" s="1"/>
  <c r="EP261" i="1" s="1"/>
  <c r="EL257" i="1"/>
  <c r="EN257" i="1" s="1"/>
  <c r="EP257" i="1" s="1"/>
  <c r="EL253" i="1"/>
  <c r="EN253" i="1" s="1"/>
  <c r="EP253" i="1" s="1"/>
  <c r="EL249" i="1"/>
  <c r="EN249" i="1" s="1"/>
  <c r="EP249" i="1" s="1"/>
  <c r="EL244" i="1"/>
  <c r="EN244" i="1" s="1"/>
  <c r="EP244" i="1" s="1"/>
  <c r="EL240" i="1"/>
  <c r="EN240" i="1" s="1"/>
  <c r="EP240" i="1" s="1"/>
  <c r="EL234" i="1"/>
  <c r="EN234" i="1" s="1"/>
  <c r="EP234" i="1" s="1"/>
  <c r="EL230" i="1"/>
  <c r="EN230" i="1" s="1"/>
  <c r="EP230" i="1" s="1"/>
  <c r="EL226" i="1"/>
  <c r="EN226" i="1" s="1"/>
  <c r="EP226" i="1" s="1"/>
  <c r="EL222" i="1"/>
  <c r="EN222" i="1" s="1"/>
  <c r="EP222" i="1" s="1"/>
  <c r="EL218" i="1"/>
  <c r="EN218" i="1" s="1"/>
  <c r="EP218" i="1" s="1"/>
  <c r="EL214" i="1"/>
  <c r="EN214" i="1" s="1"/>
  <c r="EP214" i="1" s="1"/>
  <c r="EL210" i="1"/>
  <c r="EN210" i="1" s="1"/>
  <c r="EP210" i="1" s="1"/>
  <c r="EL206" i="1"/>
  <c r="EN206" i="1" s="1"/>
  <c r="EP206" i="1" s="1"/>
  <c r="EL255" i="1"/>
  <c r="EN255" i="1" s="1"/>
  <c r="EP255" i="1" s="1"/>
  <c r="EL198" i="1"/>
  <c r="EN198" i="1" s="1"/>
  <c r="EP198" i="1" s="1"/>
  <c r="EL194" i="1"/>
  <c r="EN194" i="1" s="1"/>
  <c r="EP194" i="1" s="1"/>
  <c r="EL190" i="1"/>
  <c r="EN190" i="1" s="1"/>
  <c r="EP190" i="1" s="1"/>
  <c r="EL182" i="1"/>
  <c r="EN182" i="1" s="1"/>
  <c r="EP182" i="1" s="1"/>
  <c r="EL178" i="1"/>
  <c r="EN178" i="1" s="1"/>
  <c r="EP178" i="1" s="1"/>
  <c r="EL174" i="1"/>
  <c r="EN174" i="1" s="1"/>
  <c r="EP174" i="1" s="1"/>
  <c r="EL170" i="1"/>
  <c r="EN170" i="1" s="1"/>
  <c r="EP170" i="1" s="1"/>
  <c r="EL166" i="1"/>
  <c r="EN166" i="1" s="1"/>
  <c r="EP166" i="1" s="1"/>
  <c r="EL161" i="1"/>
  <c r="EN161" i="1" s="1"/>
  <c r="EP161" i="1" s="1"/>
  <c r="EL157" i="1"/>
  <c r="EN157" i="1" s="1"/>
  <c r="EP157" i="1" s="1"/>
  <c r="EL149" i="1"/>
  <c r="EN149" i="1" s="1"/>
  <c r="EP149" i="1" s="1"/>
  <c r="EL145" i="1"/>
  <c r="EN145" i="1" s="1"/>
  <c r="EP145" i="1" s="1"/>
  <c r="EL141" i="1"/>
  <c r="EN141" i="1" s="1"/>
  <c r="EP141" i="1" s="1"/>
  <c r="EL137" i="1"/>
  <c r="EN137" i="1" s="1"/>
  <c r="EP137" i="1" s="1"/>
  <c r="EL133" i="1"/>
  <c r="EN133" i="1" s="1"/>
  <c r="EP133" i="1" s="1"/>
  <c r="EL128" i="1"/>
  <c r="EN128" i="1" s="1"/>
  <c r="EP128" i="1" s="1"/>
  <c r="EL123" i="1"/>
  <c r="EN123" i="1" s="1"/>
  <c r="EP123" i="1" s="1"/>
  <c r="EL119" i="1"/>
  <c r="EN119" i="1" s="1"/>
  <c r="EP119" i="1" s="1"/>
  <c r="EL115" i="1"/>
  <c r="EN115" i="1" s="1"/>
  <c r="EP115" i="1" s="1"/>
  <c r="EL110" i="1"/>
  <c r="EN110" i="1" s="1"/>
  <c r="EP110" i="1" s="1"/>
  <c r="EL106" i="1"/>
  <c r="EN106" i="1" s="1"/>
  <c r="EP106" i="1" s="1"/>
  <c r="EL102" i="1"/>
  <c r="EN102" i="1" s="1"/>
  <c r="EP102" i="1" s="1"/>
  <c r="EL98" i="1"/>
  <c r="EN98" i="1" s="1"/>
  <c r="EP98" i="1" s="1"/>
  <c r="EL94" i="1"/>
  <c r="EN94" i="1" s="1"/>
  <c r="EP94" i="1" s="1"/>
  <c r="EL163" i="1"/>
  <c r="EN163" i="1" s="1"/>
  <c r="EP163" i="1" s="1"/>
  <c r="EL86" i="1"/>
  <c r="EN86" i="1" s="1"/>
  <c r="EP86" i="1" s="1"/>
  <c r="EL82" i="1"/>
  <c r="EN82" i="1" s="1"/>
  <c r="EP82" i="1" s="1"/>
  <c r="EL78" i="1"/>
  <c r="EN78" i="1" s="1"/>
  <c r="EP78" i="1" s="1"/>
  <c r="EL74" i="1"/>
  <c r="EN74" i="1" s="1"/>
  <c r="EP74" i="1" s="1"/>
  <c r="EL184" i="1"/>
  <c r="EN184" i="1" s="1"/>
  <c r="EP184" i="1" s="1"/>
  <c r="EL127" i="1"/>
  <c r="EN127" i="1" s="1"/>
  <c r="EP127" i="1" s="1"/>
  <c r="EL61" i="1"/>
  <c r="EN61" i="1" s="1"/>
  <c r="EP61" i="1" s="1"/>
  <c r="EL57" i="1"/>
  <c r="EN57" i="1" s="1"/>
  <c r="EP57" i="1" s="1"/>
  <c r="EL52" i="1"/>
  <c r="EN52" i="1" s="1"/>
  <c r="EP52" i="1" s="1"/>
  <c r="EL48" i="1"/>
  <c r="EN48" i="1" s="1"/>
  <c r="EP48" i="1" s="1"/>
  <c r="EL44" i="1"/>
  <c r="EN44" i="1" s="1"/>
  <c r="EP44" i="1" s="1"/>
  <c r="EL40" i="1"/>
  <c r="EN40" i="1" s="1"/>
  <c r="EP40" i="1" s="1"/>
  <c r="EL36" i="1"/>
  <c r="EN36" i="1" s="1"/>
  <c r="EP36" i="1" s="1"/>
  <c r="EL31" i="1"/>
  <c r="EN31" i="1" s="1"/>
  <c r="EP31" i="1" s="1"/>
  <c r="EL27" i="1"/>
  <c r="EN27" i="1" s="1"/>
  <c r="EP27" i="1" s="1"/>
  <c r="EL23" i="1"/>
  <c r="EN23" i="1" s="1"/>
  <c r="EP23" i="1" s="1"/>
  <c r="EL271" i="1"/>
  <c r="EN271" i="1" s="1"/>
  <c r="EP271" i="1" s="1"/>
  <c r="EL268" i="1"/>
  <c r="EN268" i="1" s="1"/>
  <c r="EP268" i="1" s="1"/>
  <c r="EL264" i="1"/>
  <c r="EN264" i="1" s="1"/>
  <c r="EP264" i="1" s="1"/>
  <c r="EL260" i="1"/>
  <c r="EN260" i="1" s="1"/>
  <c r="EP260" i="1" s="1"/>
  <c r="EL256" i="1"/>
  <c r="EN256" i="1" s="1"/>
  <c r="EP256" i="1" s="1"/>
  <c r="EL252" i="1"/>
  <c r="EN252" i="1" s="1"/>
  <c r="EP252" i="1" s="1"/>
  <c r="EL248" i="1"/>
  <c r="EN248" i="1" s="1"/>
  <c r="EP248" i="1" s="1"/>
  <c r="EL243" i="1"/>
  <c r="EN243" i="1" s="1"/>
  <c r="EP243" i="1" s="1"/>
  <c r="EL239" i="1"/>
  <c r="EN239" i="1" s="1"/>
  <c r="EP239" i="1" s="1"/>
  <c r="EL233" i="1"/>
  <c r="EN233" i="1" s="1"/>
  <c r="EP233" i="1" s="1"/>
  <c r="EL229" i="1"/>
  <c r="EN229" i="1" s="1"/>
  <c r="EP229" i="1" s="1"/>
  <c r="EL225" i="1"/>
  <c r="EN225" i="1" s="1"/>
  <c r="EP225" i="1" s="1"/>
  <c r="EL221" i="1"/>
  <c r="EN221" i="1" s="1"/>
  <c r="EP221" i="1" s="1"/>
  <c r="EL217" i="1"/>
  <c r="EN217" i="1" s="1"/>
  <c r="EP217" i="1" s="1"/>
  <c r="EL213" i="1"/>
  <c r="EN213" i="1" s="1"/>
  <c r="EP213" i="1" s="1"/>
  <c r="EL205" i="1"/>
  <c r="EN205" i="1" s="1"/>
  <c r="EP205" i="1" s="1"/>
  <c r="EL201" i="1"/>
  <c r="EN201" i="1" s="1"/>
  <c r="EP201" i="1" s="1"/>
  <c r="EL197" i="1"/>
  <c r="EN197" i="1" s="1"/>
  <c r="EP197" i="1" s="1"/>
  <c r="EL193" i="1"/>
  <c r="EN193" i="1" s="1"/>
  <c r="EP193" i="1" s="1"/>
  <c r="EL189" i="1"/>
  <c r="EN189" i="1" s="1"/>
  <c r="EP189" i="1" s="1"/>
  <c r="EL185" i="1"/>
  <c r="EN185" i="1" s="1"/>
  <c r="EP185" i="1" s="1"/>
  <c r="EL181" i="1"/>
  <c r="EN181" i="1" s="1"/>
  <c r="EP181" i="1" s="1"/>
  <c r="EL177" i="1"/>
  <c r="EN177" i="1" s="1"/>
  <c r="EP177" i="1" s="1"/>
  <c r="EL173" i="1"/>
  <c r="EN173" i="1" s="1"/>
  <c r="EP173" i="1" s="1"/>
  <c r="EL169" i="1"/>
  <c r="EN169" i="1" s="1"/>
  <c r="EP169" i="1" s="1"/>
  <c r="EL165" i="1"/>
  <c r="EN165" i="1" s="1"/>
  <c r="EP165" i="1" s="1"/>
  <c r="EL160" i="1"/>
  <c r="EN160" i="1" s="1"/>
  <c r="EP160" i="1" s="1"/>
  <c r="EL156" i="1"/>
  <c r="EN156" i="1" s="1"/>
  <c r="EP156" i="1" s="1"/>
  <c r="EL152" i="1"/>
  <c r="EN152" i="1" s="1"/>
  <c r="EP152" i="1" s="1"/>
  <c r="EL148" i="1"/>
  <c r="EN148" i="1" s="1"/>
  <c r="EP148" i="1" s="1"/>
  <c r="EL144" i="1"/>
  <c r="EN144" i="1" s="1"/>
  <c r="EP144" i="1" s="1"/>
  <c r="EL140" i="1"/>
  <c r="EN140" i="1" s="1"/>
  <c r="EP140" i="1" s="1"/>
  <c r="EL136" i="1"/>
  <c r="EN136" i="1" s="1"/>
  <c r="EP136" i="1" s="1"/>
  <c r="EL131" i="1"/>
  <c r="EN131" i="1" s="1"/>
  <c r="EP131" i="1" s="1"/>
  <c r="EL126" i="1"/>
  <c r="EN126" i="1" s="1"/>
  <c r="EP126" i="1" s="1"/>
  <c r="EL122" i="1"/>
  <c r="EN122" i="1" s="1"/>
  <c r="EP122" i="1" s="1"/>
  <c r="EL118" i="1"/>
  <c r="EN118" i="1" s="1"/>
  <c r="EP118" i="1" s="1"/>
  <c r="EL109" i="1"/>
  <c r="EN109" i="1" s="1"/>
  <c r="EP109" i="1" s="1"/>
  <c r="EL105" i="1"/>
  <c r="EN105" i="1" s="1"/>
  <c r="EP105" i="1" s="1"/>
  <c r="EL101" i="1"/>
  <c r="EN101" i="1" s="1"/>
  <c r="EP101" i="1" s="1"/>
  <c r="EL97" i="1"/>
  <c r="EN97" i="1" s="1"/>
  <c r="EP97" i="1" s="1"/>
  <c r="EL93" i="1"/>
  <c r="EN93" i="1" s="1"/>
  <c r="EP93" i="1" s="1"/>
  <c r="EL124" i="1"/>
  <c r="EN124" i="1" s="1"/>
  <c r="EP124" i="1" s="1"/>
  <c r="EL85" i="1"/>
  <c r="EN85" i="1" s="1"/>
  <c r="EP85" i="1" s="1"/>
  <c r="EL81" i="1"/>
  <c r="EN81" i="1" s="1"/>
  <c r="EP81" i="1" s="1"/>
  <c r="EL77" i="1"/>
  <c r="EN77" i="1" s="1"/>
  <c r="EP77" i="1" s="1"/>
  <c r="EL73" i="1"/>
  <c r="EN73" i="1" s="1"/>
  <c r="EP73" i="1" s="1"/>
  <c r="EL69" i="1"/>
  <c r="EN69" i="1" s="1"/>
  <c r="EP69" i="1" s="1"/>
  <c r="EL64" i="1"/>
  <c r="EN64" i="1" s="1"/>
  <c r="EP64" i="1" s="1"/>
  <c r="EL60" i="1"/>
  <c r="EN60" i="1" s="1"/>
  <c r="EP60" i="1" s="1"/>
  <c r="EL56" i="1"/>
  <c r="EN56" i="1" s="1"/>
  <c r="EP56" i="1" s="1"/>
  <c r="EL51" i="1"/>
  <c r="EN51" i="1" s="1"/>
  <c r="EP51" i="1" s="1"/>
  <c r="EL47" i="1"/>
  <c r="EN47" i="1" s="1"/>
  <c r="EP47" i="1" s="1"/>
  <c r="EL43" i="1"/>
  <c r="EN43" i="1" s="1"/>
  <c r="EP43" i="1" s="1"/>
  <c r="EL39" i="1"/>
  <c r="EN39" i="1" s="1"/>
  <c r="EP39" i="1" s="1"/>
  <c r="EL34" i="1"/>
  <c r="EN34" i="1" s="1"/>
  <c r="EP34" i="1" s="1"/>
  <c r="EL30" i="1"/>
  <c r="EN30" i="1" s="1"/>
  <c r="EP30" i="1" s="1"/>
  <c r="EL26" i="1"/>
  <c r="EN26" i="1" s="1"/>
  <c r="EP26" i="1" s="1"/>
  <c r="EL267" i="1"/>
  <c r="EN267" i="1" s="1"/>
  <c r="EP267" i="1" s="1"/>
  <c r="EL263" i="1"/>
  <c r="EN263" i="1" s="1"/>
  <c r="EP263" i="1" s="1"/>
  <c r="EL259" i="1"/>
  <c r="EN259" i="1" s="1"/>
  <c r="EP259" i="1" s="1"/>
  <c r="EL202" i="1"/>
  <c r="EN202" i="1" s="1"/>
  <c r="EP202" i="1" s="1"/>
  <c r="EL251" i="1"/>
  <c r="EN251" i="1" s="1"/>
  <c r="EP251" i="1" s="1"/>
  <c r="EL247" i="1"/>
  <c r="EN247" i="1" s="1"/>
  <c r="EP247" i="1" s="1"/>
  <c r="EL242" i="1"/>
  <c r="EN242" i="1" s="1"/>
  <c r="EP242" i="1" s="1"/>
  <c r="EL237" i="1"/>
  <c r="EN237" i="1" s="1"/>
  <c r="EP237" i="1" s="1"/>
  <c r="EL232" i="1"/>
  <c r="EN232" i="1" s="1"/>
  <c r="EP232" i="1" s="1"/>
  <c r="EL228" i="1"/>
  <c r="EN228" i="1" s="1"/>
  <c r="EP228" i="1" s="1"/>
  <c r="EL224" i="1"/>
  <c r="EN224" i="1" s="1"/>
  <c r="EP224" i="1" s="1"/>
  <c r="EL220" i="1"/>
  <c r="EN220" i="1" s="1"/>
  <c r="EP220" i="1" s="1"/>
  <c r="EL216" i="1"/>
  <c r="EN216" i="1" s="1"/>
  <c r="EP216" i="1" s="1"/>
  <c r="EL212" i="1"/>
  <c r="EN212" i="1" s="1"/>
  <c r="EP212" i="1" s="1"/>
  <c r="EL208" i="1"/>
  <c r="EN208" i="1" s="1"/>
  <c r="EP208" i="1" s="1"/>
  <c r="EL204" i="1"/>
  <c r="EN204" i="1" s="1"/>
  <c r="EP204" i="1" s="1"/>
  <c r="EL200" i="1"/>
  <c r="EN200" i="1" s="1"/>
  <c r="EP200" i="1" s="1"/>
  <c r="EL196" i="1"/>
  <c r="EN196" i="1" s="1"/>
  <c r="EP196" i="1" s="1"/>
  <c r="EL192" i="1"/>
  <c r="EN192" i="1" s="1"/>
  <c r="EP192" i="1" s="1"/>
  <c r="EL188" i="1"/>
  <c r="EN188" i="1" s="1"/>
  <c r="EP188" i="1" s="1"/>
  <c r="EL191" i="1"/>
  <c r="EN191" i="1" s="1"/>
  <c r="EP191" i="1" s="1"/>
  <c r="EL176" i="1"/>
  <c r="EN176" i="1" s="1"/>
  <c r="EP176" i="1" s="1"/>
  <c r="EL172" i="1"/>
  <c r="EN172" i="1" s="1"/>
  <c r="EP172" i="1" s="1"/>
  <c r="EL168" i="1"/>
  <c r="EN168" i="1" s="1"/>
  <c r="EP168" i="1" s="1"/>
  <c r="EL164" i="1"/>
  <c r="EN164" i="1" s="1"/>
  <c r="EP164" i="1" s="1"/>
  <c r="EL159" i="1"/>
  <c r="EN159" i="1" s="1"/>
  <c r="EP159" i="1" s="1"/>
  <c r="EL92" i="1"/>
  <c r="EN92" i="1" s="1"/>
  <c r="EP92" i="1" s="1"/>
  <c r="EL151" i="1"/>
  <c r="EN151" i="1" s="1"/>
  <c r="EP151" i="1" s="1"/>
  <c r="EL147" i="1"/>
  <c r="EN147" i="1" s="1"/>
  <c r="EP147" i="1" s="1"/>
  <c r="EL143" i="1"/>
  <c r="EN143" i="1" s="1"/>
  <c r="EP143" i="1" s="1"/>
  <c r="EL139" i="1"/>
  <c r="EN139" i="1" s="1"/>
  <c r="EP139" i="1" s="1"/>
  <c r="EL135" i="1"/>
  <c r="EN135" i="1" s="1"/>
  <c r="EP135" i="1" s="1"/>
  <c r="EL130" i="1"/>
  <c r="EN130" i="1" s="1"/>
  <c r="EP130" i="1" s="1"/>
  <c r="EL125" i="1"/>
  <c r="EN125" i="1" s="1"/>
  <c r="EP125" i="1" s="1"/>
  <c r="EL117" i="1"/>
  <c r="EN117" i="1" s="1"/>
  <c r="EP117" i="1" s="1"/>
  <c r="EL112" i="1"/>
  <c r="EN112" i="1" s="1"/>
  <c r="EP112" i="1" s="1"/>
  <c r="EL108" i="1"/>
  <c r="EN108" i="1" s="1"/>
  <c r="EP108" i="1" s="1"/>
  <c r="EL104" i="1"/>
  <c r="EN104" i="1" s="1"/>
  <c r="EP104" i="1" s="1"/>
  <c r="EL100" i="1"/>
  <c r="EN100" i="1" s="1"/>
  <c r="EP100" i="1" s="1"/>
  <c r="EL96" i="1"/>
  <c r="EN96" i="1" s="1"/>
  <c r="EP96" i="1" s="1"/>
  <c r="EL88" i="1"/>
  <c r="EN88" i="1" s="1"/>
  <c r="EP88" i="1" s="1"/>
  <c r="EL84" i="1"/>
  <c r="EN84" i="1" s="1"/>
  <c r="EP84" i="1" s="1"/>
  <c r="EL80" i="1"/>
  <c r="EN80" i="1" s="1"/>
  <c r="EP80" i="1" s="1"/>
  <c r="EL76" i="1"/>
  <c r="EN76" i="1" s="1"/>
  <c r="EP76" i="1" s="1"/>
  <c r="EL72" i="1"/>
  <c r="EN72" i="1" s="1"/>
  <c r="EP72" i="1" s="1"/>
  <c r="EL68" i="1"/>
  <c r="EN68" i="1" s="1"/>
  <c r="EP68" i="1" s="1"/>
  <c r="EL63" i="1"/>
  <c r="EN63" i="1" s="1"/>
  <c r="EP63" i="1" s="1"/>
  <c r="EL59" i="1"/>
  <c r="EN59" i="1" s="1"/>
  <c r="EP59" i="1" s="1"/>
  <c r="EL54" i="1"/>
  <c r="EN54" i="1" s="1"/>
  <c r="EP54" i="1" s="1"/>
  <c r="EL50" i="1"/>
  <c r="EN50" i="1" s="1"/>
  <c r="EP50" i="1" s="1"/>
  <c r="EL46" i="1"/>
  <c r="EN46" i="1" s="1"/>
  <c r="EP46" i="1" s="1"/>
  <c r="EL42" i="1"/>
  <c r="EN42" i="1" s="1"/>
  <c r="EP42" i="1" s="1"/>
  <c r="EL38" i="1"/>
  <c r="EN38" i="1" s="1"/>
  <c r="EP38" i="1" s="1"/>
  <c r="EL33" i="1"/>
  <c r="EN33" i="1" s="1"/>
  <c r="EP33" i="1" s="1"/>
  <c r="EL29" i="1"/>
  <c r="EN29" i="1" s="1"/>
  <c r="EP29" i="1" s="1"/>
  <c r="EL25" i="1"/>
  <c r="EN25" i="1" s="1"/>
  <c r="EP25" i="1" s="1"/>
  <c r="EL270" i="1"/>
  <c r="EN270" i="1" s="1"/>
  <c r="EP270" i="1" s="1"/>
  <c r="EL266" i="1"/>
  <c r="EN266" i="1" s="1"/>
  <c r="EP266" i="1" s="1"/>
  <c r="EL262" i="1"/>
  <c r="EN262" i="1" s="1"/>
  <c r="EP262" i="1" s="1"/>
  <c r="EL258" i="1"/>
  <c r="EN258" i="1" s="1"/>
  <c r="EP258" i="1" s="1"/>
  <c r="EL254" i="1"/>
  <c r="EN254" i="1" s="1"/>
  <c r="EP254" i="1" s="1"/>
  <c r="EL250" i="1"/>
  <c r="EN250" i="1" s="1"/>
  <c r="EP250" i="1" s="1"/>
  <c r="EL246" i="1"/>
  <c r="EN246" i="1" s="1"/>
  <c r="EP246" i="1" s="1"/>
  <c r="EL241" i="1"/>
  <c r="EN241" i="1" s="1"/>
  <c r="EP241" i="1" s="1"/>
  <c r="EL235" i="1"/>
  <c r="EN235" i="1" s="1"/>
  <c r="EP235" i="1" s="1"/>
  <c r="EL231" i="1"/>
  <c r="EN231" i="1" s="1"/>
  <c r="EP231" i="1" s="1"/>
  <c r="EL227" i="1"/>
  <c r="EN227" i="1" s="1"/>
  <c r="EP227" i="1" s="1"/>
  <c r="EL223" i="1"/>
  <c r="EN223" i="1" s="1"/>
  <c r="EP223" i="1" s="1"/>
  <c r="EL219" i="1"/>
  <c r="EN219" i="1" s="1"/>
  <c r="EP219" i="1" s="1"/>
  <c r="EL215" i="1"/>
  <c r="EN215" i="1" s="1"/>
  <c r="EP215" i="1" s="1"/>
  <c r="EL211" i="1"/>
  <c r="EN211" i="1" s="1"/>
  <c r="EP211" i="1" s="1"/>
  <c r="EL207" i="1"/>
  <c r="EN207" i="1" s="1"/>
  <c r="EP207" i="1" s="1"/>
  <c r="EL203" i="1"/>
  <c r="EN203" i="1" s="1"/>
  <c r="EP203" i="1" s="1"/>
  <c r="EL199" i="1"/>
  <c r="EN199" i="1" s="1"/>
  <c r="EP199" i="1" s="1"/>
  <c r="EL195" i="1"/>
  <c r="EN195" i="1" s="1"/>
  <c r="EP195" i="1" s="1"/>
  <c r="EL35" i="1"/>
  <c r="EN35" i="1" s="1"/>
  <c r="EP35" i="1" s="1"/>
  <c r="EL187" i="1"/>
  <c r="EN187" i="1" s="1"/>
  <c r="EP187" i="1" s="1"/>
  <c r="EL183" i="1"/>
  <c r="EN183" i="1" s="1"/>
  <c r="EP183" i="1" s="1"/>
  <c r="EL179" i="1"/>
  <c r="EN179" i="1" s="1"/>
  <c r="EP179" i="1" s="1"/>
  <c r="EL175" i="1"/>
  <c r="EN175" i="1" s="1"/>
  <c r="EP175" i="1" s="1"/>
  <c r="EL171" i="1"/>
  <c r="EN171" i="1" s="1"/>
  <c r="EP171" i="1" s="1"/>
  <c r="EL167" i="1"/>
  <c r="EN167" i="1" s="1"/>
  <c r="EP167" i="1" s="1"/>
  <c r="EL162" i="1"/>
  <c r="EN162" i="1" s="1"/>
  <c r="EP162" i="1" s="1"/>
  <c r="EL158" i="1"/>
  <c r="EN158" i="1" s="1"/>
  <c r="EP158" i="1" s="1"/>
  <c r="EL154" i="1"/>
  <c r="EN154" i="1" s="1"/>
  <c r="EP154" i="1" s="1"/>
  <c r="EL150" i="1"/>
  <c r="EN150" i="1" s="1"/>
  <c r="EP150" i="1" s="1"/>
  <c r="EL146" i="1"/>
  <c r="EN146" i="1" s="1"/>
  <c r="EP146" i="1" s="1"/>
  <c r="EL142" i="1"/>
  <c r="EN142" i="1" s="1"/>
  <c r="EP142" i="1" s="1"/>
  <c r="EL138" i="1"/>
  <c r="EN138" i="1" s="1"/>
  <c r="EP138" i="1" s="1"/>
  <c r="EL134" i="1"/>
  <c r="EN134" i="1" s="1"/>
  <c r="EP134" i="1" s="1"/>
  <c r="EL129" i="1"/>
  <c r="EN129" i="1" s="1"/>
  <c r="EP129" i="1" s="1"/>
  <c r="EL116" i="1"/>
  <c r="EN116" i="1" s="1"/>
  <c r="EP116" i="1" s="1"/>
  <c r="EL111" i="1"/>
  <c r="EN111" i="1" s="1"/>
  <c r="EP111" i="1" s="1"/>
  <c r="EL107" i="1"/>
  <c r="EN107" i="1" s="1"/>
  <c r="EP107" i="1" s="1"/>
  <c r="EL103" i="1"/>
  <c r="EN103" i="1" s="1"/>
  <c r="EP103" i="1" s="1"/>
  <c r="EL99" i="1"/>
  <c r="EN99" i="1" s="1"/>
  <c r="EP99" i="1" s="1"/>
  <c r="EL95" i="1"/>
  <c r="EN95" i="1" s="1"/>
  <c r="EP95" i="1" s="1"/>
  <c r="EL91" i="1"/>
  <c r="EN91" i="1" s="1"/>
  <c r="EP91" i="1" s="1"/>
  <c r="EL87" i="1"/>
  <c r="EN87" i="1" s="1"/>
  <c r="EP87" i="1" s="1"/>
  <c r="EL83" i="1"/>
  <c r="EN83" i="1" s="1"/>
  <c r="EP83" i="1" s="1"/>
  <c r="EL79" i="1"/>
  <c r="EN79" i="1" s="1"/>
  <c r="EP79" i="1" s="1"/>
  <c r="EL75" i="1"/>
  <c r="EN75" i="1" s="1"/>
  <c r="EP75" i="1" s="1"/>
  <c r="EL71" i="1"/>
  <c r="EN71" i="1" s="1"/>
  <c r="EP71" i="1" s="1"/>
  <c r="EL66" i="1"/>
  <c r="EN66" i="1" s="1"/>
  <c r="EP66" i="1" s="1"/>
  <c r="EL62" i="1"/>
  <c r="EN62" i="1" s="1"/>
  <c r="EP62" i="1" s="1"/>
  <c r="EL58" i="1"/>
  <c r="EN58" i="1" s="1"/>
  <c r="EP58" i="1" s="1"/>
  <c r="EL53" i="1"/>
  <c r="EN53" i="1" s="1"/>
  <c r="EP53" i="1" s="1"/>
  <c r="EL49" i="1"/>
  <c r="EN49" i="1" s="1"/>
  <c r="EP49" i="1" s="1"/>
  <c r="EL45" i="1"/>
  <c r="EN45" i="1" s="1"/>
  <c r="EP45" i="1" s="1"/>
  <c r="EL41" i="1"/>
  <c r="EN41" i="1" s="1"/>
  <c r="EP41" i="1" s="1"/>
  <c r="EL37" i="1"/>
  <c r="EN37" i="1" s="1"/>
  <c r="EP37" i="1" s="1"/>
  <c r="EL32" i="1"/>
  <c r="EN32" i="1" s="1"/>
  <c r="EP32" i="1" s="1"/>
  <c r="EL28" i="1"/>
  <c r="EN28" i="1" s="1"/>
  <c r="EP28" i="1" s="1"/>
  <c r="EL24" i="1"/>
  <c r="EN24" i="1" s="1"/>
  <c r="EP24" i="1" s="1"/>
  <c r="EL180" i="1"/>
  <c r="EN180" i="1" s="1"/>
  <c r="EP180" i="1" s="1"/>
  <c r="EL153" i="1"/>
  <c r="EN153" i="1" s="1"/>
  <c r="EP153" i="1" s="1"/>
  <c r="EL120" i="1"/>
  <c r="EN120" i="1" s="1"/>
  <c r="EP120" i="1" s="1"/>
  <c r="EL114" i="1"/>
  <c r="EN114" i="1" s="1"/>
  <c r="EP114" i="1" s="1"/>
  <c r="EL89" i="1"/>
  <c r="EN89" i="1" s="1"/>
  <c r="EP89" i="1" s="1"/>
  <c r="EL70" i="1"/>
  <c r="EN70" i="1" s="1"/>
  <c r="EP70" i="1" s="1"/>
  <c r="EL67" i="1"/>
  <c r="EN67" i="1" s="1"/>
  <c r="EP67" i="1" s="1"/>
  <c r="EL19" i="1"/>
  <c r="EN19" i="1" s="1"/>
  <c r="EP19" i="1" s="1"/>
  <c r="EN155" i="1"/>
  <c r="EP155" i="1" s="1"/>
  <c r="C33" i="3"/>
  <c r="F32" i="3"/>
  <c r="E40" i="3"/>
  <c r="DU256" i="1"/>
  <c r="DU244" i="1"/>
  <c r="DU224" i="1"/>
  <c r="DU204" i="1"/>
  <c r="DU192" i="1"/>
  <c r="DU172" i="1"/>
  <c r="DU160" i="1"/>
  <c r="DU141" i="1"/>
  <c r="DU129" i="1"/>
  <c r="DU109" i="1"/>
  <c r="DU97" i="1"/>
  <c r="DU93" i="1"/>
  <c r="DU124" i="1"/>
  <c r="DU85" i="1"/>
  <c r="DU81" i="1"/>
  <c r="DU77" i="1"/>
  <c r="DU73" i="1"/>
  <c r="DU69" i="1"/>
  <c r="DU127" i="1"/>
  <c r="DU61" i="1"/>
  <c r="DU57" i="1"/>
  <c r="DU53" i="1"/>
  <c r="DU49" i="1"/>
  <c r="DU45" i="1"/>
  <c r="DU41" i="1"/>
  <c r="DU37" i="1"/>
  <c r="DU33" i="1"/>
  <c r="DU29" i="1"/>
  <c r="DU25" i="1"/>
  <c r="DU21" i="1"/>
  <c r="DU17" i="1"/>
  <c r="DU13" i="1"/>
  <c r="DU9" i="1"/>
  <c r="DU271" i="1"/>
  <c r="DU268" i="1"/>
  <c r="DU264" i="1"/>
  <c r="DU257" i="1"/>
  <c r="DU253" i="1"/>
  <c r="DU245" i="1"/>
  <c r="DU241" i="1"/>
  <c r="DU233" i="1"/>
  <c r="DU225" i="1"/>
  <c r="DU217" i="1"/>
  <c r="DU114" i="1"/>
  <c r="DU201" i="1"/>
  <c r="DU197" i="1"/>
  <c r="DU189" i="1"/>
  <c r="DU181" i="1"/>
  <c r="DU173" i="1"/>
  <c r="DU165" i="1"/>
  <c r="DU157" i="1"/>
  <c r="DU146" i="1"/>
  <c r="DU138" i="1"/>
  <c r="DU130" i="1"/>
  <c r="DU122" i="1"/>
  <c r="DU118" i="1"/>
  <c r="DU110" i="1"/>
  <c r="DU106" i="1"/>
  <c r="DU98" i="1"/>
  <c r="DU94" i="1"/>
  <c r="DU163" i="1"/>
  <c r="DU86" i="1"/>
  <c r="DU82" i="1"/>
  <c r="DU78" i="1"/>
  <c r="DU74" i="1"/>
  <c r="DU184" i="1"/>
  <c r="DU66" i="1"/>
  <c r="DU62" i="1"/>
  <c r="DU54" i="1"/>
  <c r="DU46" i="1"/>
  <c r="DU38" i="1"/>
  <c r="DU30" i="1"/>
  <c r="DU22" i="1"/>
  <c r="DU186" i="1"/>
  <c r="DU267" i="1"/>
  <c r="DU252" i="1"/>
  <c r="DU236" i="1"/>
  <c r="DU228" i="1"/>
  <c r="DU220" i="1"/>
  <c r="DU208" i="1"/>
  <c r="DU196" i="1"/>
  <c r="DU191" i="1"/>
  <c r="DU176" i="1"/>
  <c r="DU168" i="1"/>
  <c r="DU120" i="1"/>
  <c r="DU145" i="1"/>
  <c r="DU137" i="1"/>
  <c r="DU125" i="1"/>
  <c r="DU113" i="1"/>
  <c r="DU101" i="1"/>
  <c r="DU269" i="1"/>
  <c r="DU266" i="1"/>
  <c r="DU263" i="1"/>
  <c r="DU259" i="1"/>
  <c r="DU202" i="1"/>
  <c r="DU251" i="1"/>
  <c r="DU247" i="1"/>
  <c r="DU243" i="1"/>
  <c r="DU239" i="1"/>
  <c r="DU235" i="1"/>
  <c r="DU231" i="1"/>
  <c r="DU227" i="1"/>
  <c r="DU223" i="1"/>
  <c r="DU219" i="1"/>
  <c r="DU215" i="1"/>
  <c r="DU211" i="1"/>
  <c r="DU207" i="1"/>
  <c r="DU203" i="1"/>
  <c r="DU199" i="1"/>
  <c r="DU195" i="1"/>
  <c r="DU35" i="1"/>
  <c r="DU187" i="1"/>
  <c r="DU183" i="1"/>
  <c r="DU179" i="1"/>
  <c r="DU175" i="1"/>
  <c r="DU171" i="1"/>
  <c r="DU167" i="1"/>
  <c r="DU65" i="1"/>
  <c r="DU159" i="1"/>
  <c r="DU92" i="1"/>
  <c r="DU152" i="1"/>
  <c r="DU148" i="1"/>
  <c r="DU144" i="1"/>
  <c r="DU140" i="1"/>
  <c r="DU136" i="1"/>
  <c r="DU132" i="1"/>
  <c r="DU128" i="1"/>
  <c r="DU153" i="1"/>
  <c r="DU67" i="1"/>
  <c r="DU116" i="1"/>
  <c r="DU112" i="1"/>
  <c r="DU108" i="1"/>
  <c r="DU104" i="1"/>
  <c r="DU100" i="1"/>
  <c r="DU96" i="1"/>
  <c r="DU88" i="1"/>
  <c r="DU84" i="1"/>
  <c r="DU80" i="1"/>
  <c r="DU76" i="1"/>
  <c r="DU72" i="1"/>
  <c r="DU68" i="1"/>
  <c r="DU64" i="1"/>
  <c r="DU60" i="1"/>
  <c r="DU56" i="1"/>
  <c r="DU52" i="1"/>
  <c r="DU48" i="1"/>
  <c r="DU44" i="1"/>
  <c r="DU40" i="1"/>
  <c r="DU36" i="1"/>
  <c r="DU32" i="1"/>
  <c r="DU28" i="1"/>
  <c r="DU24" i="1"/>
  <c r="DU20" i="1"/>
  <c r="DU16" i="1"/>
  <c r="DU12" i="1"/>
  <c r="DU8" i="1"/>
  <c r="DU261" i="1"/>
  <c r="DU249" i="1"/>
  <c r="DU237" i="1"/>
  <c r="DU229" i="1"/>
  <c r="DU221" i="1"/>
  <c r="DU213" i="1"/>
  <c r="DU205" i="1"/>
  <c r="DU193" i="1"/>
  <c r="DU185" i="1"/>
  <c r="DU177" i="1"/>
  <c r="DU169" i="1"/>
  <c r="DU161" i="1"/>
  <c r="DU150" i="1"/>
  <c r="DU142" i="1"/>
  <c r="DU134" i="1"/>
  <c r="DU126" i="1"/>
  <c r="DU89" i="1"/>
  <c r="DU102" i="1"/>
  <c r="DU58" i="1"/>
  <c r="DU50" i="1"/>
  <c r="DU42" i="1"/>
  <c r="DU34" i="1"/>
  <c r="DU26" i="1"/>
  <c r="DU18" i="1"/>
  <c r="DU10" i="1"/>
  <c r="DU270" i="1"/>
  <c r="DU260" i="1"/>
  <c r="DU248" i="1"/>
  <c r="DU240" i="1"/>
  <c r="DU232" i="1"/>
  <c r="DU216" i="1"/>
  <c r="DU212" i="1"/>
  <c r="DU200" i="1"/>
  <c r="DU188" i="1"/>
  <c r="DU155" i="1"/>
  <c r="DU164" i="1"/>
  <c r="DU156" i="1"/>
  <c r="DU149" i="1"/>
  <c r="DU133" i="1"/>
  <c r="DU70" i="1"/>
  <c r="DU117" i="1"/>
  <c r="DU105" i="1"/>
  <c r="DU265" i="1"/>
  <c r="DU262" i="1"/>
  <c r="DU258" i="1"/>
  <c r="DU254" i="1"/>
  <c r="DU250" i="1"/>
  <c r="DU246" i="1"/>
  <c r="DU242" i="1"/>
  <c r="DU238" i="1"/>
  <c r="DU234" i="1"/>
  <c r="DU230" i="1"/>
  <c r="DU226" i="1"/>
  <c r="DU222" i="1"/>
  <c r="DU218" i="1"/>
  <c r="DU214" i="1"/>
  <c r="DU210" i="1"/>
  <c r="DU206" i="1"/>
  <c r="DU255" i="1"/>
  <c r="DU198" i="1"/>
  <c r="DU194" i="1"/>
  <c r="DU190" i="1"/>
  <c r="DU19" i="1"/>
  <c r="DU182" i="1"/>
  <c r="DU178" i="1"/>
  <c r="DU174" i="1"/>
  <c r="DU170" i="1"/>
  <c r="DU166" i="1"/>
  <c r="DU162" i="1"/>
  <c r="DU158" i="1"/>
  <c r="DU154" i="1"/>
  <c r="DU151" i="1"/>
  <c r="DU147" i="1"/>
  <c r="DU143" i="1"/>
  <c r="DU139" i="1"/>
  <c r="DU135" i="1"/>
  <c r="DU131" i="1"/>
  <c r="DU14" i="1"/>
  <c r="DU123" i="1"/>
  <c r="DU119" i="1"/>
  <c r="DU115" i="1"/>
  <c r="DU111" i="1"/>
  <c r="DU107" i="1"/>
  <c r="DU103" i="1"/>
  <c r="DU99" i="1"/>
  <c r="DU95" i="1"/>
  <c r="DU91" i="1"/>
  <c r="DU87" i="1"/>
  <c r="DU83" i="1"/>
  <c r="DU79" i="1"/>
  <c r="DU75" i="1"/>
  <c r="DU71" i="1"/>
  <c r="DU121" i="1"/>
  <c r="DU63" i="1"/>
  <c r="DU59" i="1"/>
  <c r="DU55" i="1"/>
  <c r="DU51" i="1"/>
  <c r="DU47" i="1"/>
  <c r="DU43" i="1"/>
  <c r="DU39" i="1"/>
  <c r="DU209" i="1"/>
  <c r="DU31" i="1"/>
  <c r="DU27" i="1"/>
  <c r="DU23" i="1"/>
  <c r="DU15" i="1"/>
  <c r="DU11" i="1"/>
  <c r="DU7" i="1"/>
  <c r="C34" i="3" l="1"/>
  <c r="F33" i="3"/>
  <c r="E41" i="3"/>
  <c r="CP11" i="1"/>
  <c r="CJ63" i="1"/>
  <c r="CJ71" i="1"/>
  <c r="CP79" i="1"/>
  <c r="CJ91" i="1"/>
  <c r="CJ95" i="1"/>
  <c r="CJ135" i="1"/>
  <c r="CP139" i="1"/>
  <c r="CP151" i="1"/>
  <c r="CP222" i="1"/>
  <c r="CP226" i="1"/>
  <c r="CP10" i="1"/>
  <c r="CJ18" i="1"/>
  <c r="CJ22" i="1"/>
  <c r="CJ26" i="1"/>
  <c r="CJ30" i="1"/>
  <c r="CP34" i="1"/>
  <c r="CJ38" i="1"/>
  <c r="CP46" i="1"/>
  <c r="CP50" i="1"/>
  <c r="CP54" i="1"/>
  <c r="CJ62" i="1"/>
  <c r="CJ66" i="1"/>
  <c r="CP184" i="1"/>
  <c r="CP74" i="1"/>
  <c r="CP78" i="1"/>
  <c r="CJ82" i="1"/>
  <c r="CP86" i="1"/>
  <c r="CJ163" i="1"/>
  <c r="CP98" i="1"/>
  <c r="CP102" i="1"/>
  <c r="CP106" i="1"/>
  <c r="CP89" i="1"/>
  <c r="CP118" i="1"/>
  <c r="CP122" i="1"/>
  <c r="CP126" i="1"/>
  <c r="CP130" i="1"/>
  <c r="CJ134" i="1"/>
  <c r="CP138" i="1"/>
  <c r="CJ146" i="1"/>
  <c r="CJ150" i="1"/>
  <c r="CJ157" i="1"/>
  <c r="CJ161" i="1"/>
  <c r="CP165" i="1"/>
  <c r="CJ173" i="1"/>
  <c r="CP177" i="1"/>
  <c r="CP181" i="1"/>
  <c r="CJ189" i="1"/>
  <c r="CP193" i="1"/>
  <c r="CP197" i="1"/>
  <c r="CP205" i="1"/>
  <c r="CJ114" i="1"/>
  <c r="CJ217" i="1"/>
  <c r="CP225" i="1"/>
  <c r="CJ229" i="1"/>
  <c r="CJ233" i="1"/>
  <c r="CP237" i="1"/>
  <c r="CP241" i="1"/>
  <c r="CJ245" i="1"/>
  <c r="CP249" i="1"/>
  <c r="CP253" i="1"/>
  <c r="CP257" i="1"/>
  <c r="CJ261" i="1"/>
  <c r="CP264" i="1"/>
  <c r="CP268" i="1"/>
  <c r="CJ271" i="1"/>
  <c r="CP7" i="1"/>
  <c r="CP15" i="1"/>
  <c r="CP23" i="1"/>
  <c r="CJ31" i="1"/>
  <c r="CJ39" i="1"/>
  <c r="CP51" i="1"/>
  <c r="CJ75" i="1"/>
  <c r="CJ99" i="1"/>
  <c r="CJ107" i="1"/>
  <c r="CP111" i="1"/>
  <c r="CJ119" i="1"/>
  <c r="CJ14" i="1"/>
  <c r="CJ147" i="1"/>
  <c r="CP166" i="1"/>
  <c r="CJ174" i="1"/>
  <c r="CJ182" i="1"/>
  <c r="CP190" i="1"/>
  <c r="CJ198" i="1"/>
  <c r="CP206" i="1"/>
  <c r="CP210" i="1"/>
  <c r="CP234" i="1"/>
  <c r="CJ250" i="1"/>
  <c r="CJ258" i="1"/>
  <c r="CP9" i="1"/>
  <c r="CP17" i="1"/>
  <c r="CJ25" i="1"/>
  <c r="CP33" i="1"/>
  <c r="CP37" i="1"/>
  <c r="CP69" i="1"/>
  <c r="CP77" i="1"/>
  <c r="CJ85" i="1"/>
  <c r="CP113" i="1"/>
  <c r="CJ70" i="1"/>
  <c r="CP156" i="1"/>
  <c r="CJ168" i="1"/>
  <c r="CJ200" i="1"/>
  <c r="CP208" i="1"/>
  <c r="CP220" i="1"/>
  <c r="CP232" i="1"/>
  <c r="CP252" i="1"/>
  <c r="CJ267" i="1"/>
  <c r="CJ90" i="1"/>
  <c r="CP209" i="1"/>
  <c r="CJ43" i="1"/>
  <c r="CJ47" i="1"/>
  <c r="CP55" i="1"/>
  <c r="CP59" i="1"/>
  <c r="CJ83" i="1"/>
  <c r="CJ131" i="1"/>
  <c r="CP158" i="1"/>
  <c r="CJ162" i="1"/>
  <c r="CP170" i="1"/>
  <c r="CP178" i="1"/>
  <c r="CJ19" i="1"/>
  <c r="CJ194" i="1"/>
  <c r="CP255" i="1"/>
  <c r="CP230" i="1"/>
  <c r="CP242" i="1"/>
  <c r="CP246" i="1"/>
  <c r="CP254" i="1"/>
  <c r="CP262" i="1"/>
  <c r="CJ13" i="1"/>
  <c r="CP29" i="1"/>
  <c r="CP41" i="1"/>
  <c r="CJ49" i="1"/>
  <c r="CJ127" i="1"/>
  <c r="CJ73" i="1"/>
  <c r="CJ81" i="1"/>
  <c r="CJ124" i="1"/>
  <c r="CJ101" i="1"/>
  <c r="CJ129" i="1"/>
  <c r="CJ160" i="1"/>
  <c r="CJ172" i="1"/>
  <c r="CP196" i="1"/>
  <c r="CJ204" i="1"/>
  <c r="CP228" i="1"/>
  <c r="CJ236" i="1"/>
  <c r="CJ256" i="1"/>
  <c r="CJ8" i="1"/>
  <c r="CJ16" i="1"/>
  <c r="CJ24" i="1"/>
  <c r="CJ36" i="1"/>
  <c r="CJ40" i="1"/>
  <c r="CJ48" i="1"/>
  <c r="CJ52" i="1"/>
  <c r="CJ56" i="1"/>
  <c r="CJ64" i="1"/>
  <c r="CJ68" i="1"/>
  <c r="CJ72" i="1"/>
  <c r="CJ80" i="1"/>
  <c r="CJ84" i="1"/>
  <c r="CP88" i="1"/>
  <c r="CP104" i="1"/>
  <c r="CJ112" i="1"/>
  <c r="CP67" i="1"/>
  <c r="CP128" i="1"/>
  <c r="CP136" i="1"/>
  <c r="CJ140" i="1"/>
  <c r="CJ144" i="1"/>
  <c r="CJ152" i="1"/>
  <c r="CJ65" i="1"/>
  <c r="CJ167" i="1"/>
  <c r="CJ171" i="1"/>
  <c r="CJ175" i="1"/>
  <c r="CJ179" i="1"/>
  <c r="CJ183" i="1"/>
  <c r="CJ35" i="1"/>
  <c r="CJ195" i="1"/>
  <c r="CJ199" i="1"/>
  <c r="CJ211" i="1"/>
  <c r="CP215" i="1"/>
  <c r="CJ231" i="1"/>
  <c r="CP239" i="1"/>
  <c r="CJ247" i="1"/>
  <c r="CJ251" i="1"/>
  <c r="CJ202" i="1"/>
  <c r="CJ259" i="1"/>
  <c r="CJ263" i="1"/>
  <c r="CJ266" i="1"/>
  <c r="CP269" i="1"/>
  <c r="C35" i="3" l="1"/>
  <c r="F34" i="3"/>
  <c r="E42" i="3"/>
  <c r="CJ197" i="1"/>
  <c r="CJ184" i="1"/>
  <c r="CJ226" i="1"/>
  <c r="CJ50" i="1"/>
  <c r="CJ77" i="1"/>
  <c r="CJ17" i="1"/>
  <c r="CJ54" i="1"/>
  <c r="CJ46" i="1"/>
  <c r="CJ34" i="1"/>
  <c r="CJ79" i="1"/>
  <c r="CJ11" i="1"/>
  <c r="CJ205" i="1"/>
  <c r="CJ78" i="1"/>
  <c r="CJ210" i="1"/>
  <c r="CJ23" i="1"/>
  <c r="CJ252" i="1"/>
  <c r="CJ151" i="1"/>
  <c r="CJ190" i="1"/>
  <c r="CJ118" i="1"/>
  <c r="CJ208" i="1"/>
  <c r="CJ51" i="1"/>
  <c r="CJ262" i="1"/>
  <c r="CJ242" i="1"/>
  <c r="CJ158" i="1"/>
  <c r="CJ106" i="1"/>
  <c r="CJ98" i="1"/>
  <c r="CJ170" i="1"/>
  <c r="CJ122" i="1"/>
  <c r="CJ89" i="1"/>
  <c r="CJ255" i="1"/>
  <c r="CJ225" i="1"/>
  <c r="CJ138" i="1"/>
  <c r="CJ130" i="1"/>
  <c r="CJ102" i="1"/>
  <c r="CP13" i="1"/>
  <c r="CJ249" i="1"/>
  <c r="CJ156" i="1"/>
  <c r="CJ264" i="1"/>
  <c r="CJ257" i="1"/>
  <c r="CJ10" i="1"/>
  <c r="CJ59" i="1"/>
  <c r="CJ139" i="1"/>
  <c r="CP14" i="1"/>
  <c r="CP107" i="1"/>
  <c r="CP233" i="1"/>
  <c r="CJ181" i="1"/>
  <c r="CJ241" i="1"/>
  <c r="CJ165" i="1"/>
  <c r="CJ206" i="1"/>
  <c r="CJ220" i="1"/>
  <c r="CP263" i="1"/>
  <c r="CP247" i="1"/>
  <c r="CP231" i="1"/>
  <c r="CP194" i="1"/>
  <c r="CP85" i="1"/>
  <c r="CJ7" i="1"/>
  <c r="CJ136" i="1"/>
  <c r="CJ104" i="1"/>
  <c r="CJ67" i="1"/>
  <c r="CJ193" i="1"/>
  <c r="CJ177" i="1"/>
  <c r="CP72" i="1"/>
  <c r="CP56" i="1"/>
  <c r="CP40" i="1"/>
  <c r="CP24" i="1"/>
  <c r="CP8" i="1"/>
  <c r="CP160" i="1"/>
  <c r="CP129" i="1"/>
  <c r="CJ33" i="1"/>
  <c r="CP90" i="1"/>
  <c r="CP182" i="1"/>
  <c r="CP147" i="1"/>
  <c r="CP39" i="1"/>
  <c r="CP189" i="1"/>
  <c r="CP173" i="1"/>
  <c r="CP62" i="1"/>
  <c r="CP38" i="1"/>
  <c r="CP135" i="1"/>
  <c r="CJ113" i="1"/>
  <c r="CP199" i="1"/>
  <c r="CP183" i="1"/>
  <c r="CP167" i="1"/>
  <c r="CP152" i="1"/>
  <c r="CJ234" i="1"/>
  <c r="CP124" i="1"/>
  <c r="CP19" i="1"/>
  <c r="CJ269" i="1"/>
  <c r="CJ239" i="1"/>
  <c r="CJ128" i="1"/>
  <c r="CJ209" i="1"/>
  <c r="CJ41" i="1"/>
  <c r="CJ55" i="1"/>
  <c r="CP258" i="1"/>
  <c r="CJ29" i="1"/>
  <c r="CN235" i="1"/>
  <c r="CO235" i="1"/>
  <c r="CK235" i="1"/>
  <c r="CL235" i="1"/>
  <c r="CN219" i="1"/>
  <c r="CO219" i="1"/>
  <c r="CK219" i="1"/>
  <c r="CL219" i="1"/>
  <c r="CN203" i="1"/>
  <c r="CO203" i="1"/>
  <c r="CK203" i="1"/>
  <c r="CL203" i="1"/>
  <c r="CN187" i="1"/>
  <c r="CO187" i="1"/>
  <c r="CK187" i="1"/>
  <c r="CL187" i="1"/>
  <c r="CN92" i="1"/>
  <c r="CO92" i="1"/>
  <c r="CK92" i="1"/>
  <c r="CL92" i="1"/>
  <c r="CN108" i="1"/>
  <c r="CO108" i="1"/>
  <c r="CK108" i="1"/>
  <c r="CL108" i="1"/>
  <c r="CN180" i="1"/>
  <c r="CO180" i="1"/>
  <c r="CK180" i="1"/>
  <c r="CL180" i="1"/>
  <c r="CN60" i="1"/>
  <c r="CO60" i="1"/>
  <c r="CK60" i="1"/>
  <c r="CL60" i="1"/>
  <c r="CN44" i="1"/>
  <c r="CO44" i="1"/>
  <c r="CK44" i="1"/>
  <c r="CL44" i="1"/>
  <c r="CO28" i="1"/>
  <c r="CK28" i="1"/>
  <c r="CL28" i="1"/>
  <c r="CN28" i="1"/>
  <c r="CO12" i="1"/>
  <c r="CK12" i="1"/>
  <c r="CN12" i="1"/>
  <c r="CL12" i="1"/>
  <c r="CO216" i="1"/>
  <c r="CK216" i="1"/>
  <c r="CL216" i="1"/>
  <c r="CN216" i="1"/>
  <c r="CO176" i="1"/>
  <c r="CK176" i="1"/>
  <c r="CL176" i="1"/>
  <c r="CN176" i="1"/>
  <c r="CO109" i="1"/>
  <c r="CK109" i="1"/>
  <c r="CL109" i="1"/>
  <c r="CN109" i="1"/>
  <c r="CO97" i="1"/>
  <c r="CN97" i="1"/>
  <c r="CK97" i="1"/>
  <c r="CL97" i="1"/>
  <c r="CN265" i="1"/>
  <c r="CO265" i="1"/>
  <c r="CK265" i="1"/>
  <c r="CL265" i="1"/>
  <c r="CN218" i="1"/>
  <c r="CO218" i="1"/>
  <c r="CK218" i="1"/>
  <c r="CL218" i="1"/>
  <c r="CO143" i="1"/>
  <c r="CN143" i="1"/>
  <c r="CK143" i="1"/>
  <c r="CL143" i="1"/>
  <c r="CO115" i="1"/>
  <c r="CK115" i="1"/>
  <c r="CN115" i="1"/>
  <c r="CL115" i="1"/>
  <c r="CO47" i="1"/>
  <c r="CN47" i="1"/>
  <c r="CK47" i="1"/>
  <c r="CL47" i="1"/>
  <c r="CN27" i="1"/>
  <c r="CO27" i="1"/>
  <c r="CK27" i="1"/>
  <c r="CL27" i="1"/>
  <c r="CO260" i="1"/>
  <c r="CL260" i="1"/>
  <c r="CK260" i="1"/>
  <c r="CN260" i="1"/>
  <c r="CO240" i="1"/>
  <c r="CL240" i="1"/>
  <c r="CN240" i="1"/>
  <c r="CK240" i="1"/>
  <c r="CN238" i="1"/>
  <c r="CO238" i="1"/>
  <c r="CK238" i="1"/>
  <c r="CL238" i="1"/>
  <c r="CN271" i="1"/>
  <c r="CO271" i="1"/>
  <c r="CK271" i="1"/>
  <c r="CL271" i="1"/>
  <c r="CL221" i="1"/>
  <c r="CN221" i="1"/>
  <c r="CO221" i="1"/>
  <c r="CK221" i="1"/>
  <c r="CL213" i="1"/>
  <c r="CN213" i="1"/>
  <c r="CK213" i="1"/>
  <c r="CO213" i="1"/>
  <c r="CN94" i="1"/>
  <c r="CO94" i="1"/>
  <c r="CL94" i="1"/>
  <c r="CK94" i="1"/>
  <c r="CN18" i="1"/>
  <c r="CO18" i="1"/>
  <c r="CL18" i="1"/>
  <c r="CK18" i="1"/>
  <c r="CN223" i="1"/>
  <c r="CO223" i="1"/>
  <c r="CK223" i="1"/>
  <c r="CL223" i="1"/>
  <c r="CP219" i="1"/>
  <c r="CJ213" i="1"/>
  <c r="CN207" i="1"/>
  <c r="CO207" i="1"/>
  <c r="CK207" i="1"/>
  <c r="CL207" i="1"/>
  <c r="CP203" i="1"/>
  <c r="CP92" i="1"/>
  <c r="CN112" i="1"/>
  <c r="CK112" i="1"/>
  <c r="CL112" i="1"/>
  <c r="CO112" i="1"/>
  <c r="CP108" i="1"/>
  <c r="CN96" i="1"/>
  <c r="CK96" i="1"/>
  <c r="CL96" i="1"/>
  <c r="CO96" i="1"/>
  <c r="CP180" i="1"/>
  <c r="CN153" i="1"/>
  <c r="CO153" i="1"/>
  <c r="CK153" i="1"/>
  <c r="CL153" i="1"/>
  <c r="CN76" i="1"/>
  <c r="CO76" i="1"/>
  <c r="CK76" i="1"/>
  <c r="CL76" i="1"/>
  <c r="CO117" i="1"/>
  <c r="CK117" i="1"/>
  <c r="CL117" i="1"/>
  <c r="CN117" i="1"/>
  <c r="CO53" i="1"/>
  <c r="CK53" i="1"/>
  <c r="CL53" i="1"/>
  <c r="CN53" i="1"/>
  <c r="CO149" i="1"/>
  <c r="CK149" i="1"/>
  <c r="CL149" i="1"/>
  <c r="CN149" i="1"/>
  <c r="CO141" i="1"/>
  <c r="CK141" i="1"/>
  <c r="CL141" i="1"/>
  <c r="CN141" i="1"/>
  <c r="CO61" i="1"/>
  <c r="CK61" i="1"/>
  <c r="CL61" i="1"/>
  <c r="CN61" i="1"/>
  <c r="CN250" i="1"/>
  <c r="CO250" i="1"/>
  <c r="CK250" i="1"/>
  <c r="CL250" i="1"/>
  <c r="CN146" i="1"/>
  <c r="CL146" i="1"/>
  <c r="CO146" i="1"/>
  <c r="CK146" i="1"/>
  <c r="CJ60" i="1"/>
  <c r="CJ44" i="1"/>
  <c r="CJ61" i="1"/>
  <c r="CP266" i="1"/>
  <c r="CN159" i="1"/>
  <c r="CK159" i="1"/>
  <c r="CO159" i="1"/>
  <c r="CL159" i="1"/>
  <c r="CN144" i="1"/>
  <c r="CK144" i="1"/>
  <c r="CL144" i="1"/>
  <c r="CO144" i="1"/>
  <c r="CP44" i="1"/>
  <c r="CN32" i="1"/>
  <c r="CK32" i="1"/>
  <c r="CL32" i="1"/>
  <c r="CO32" i="1"/>
  <c r="CP28" i="1"/>
  <c r="CO16" i="1"/>
  <c r="CN16" i="1"/>
  <c r="CK16" i="1"/>
  <c r="CL16" i="1"/>
  <c r="CP12" i="1"/>
  <c r="CO244" i="1"/>
  <c r="CL244" i="1"/>
  <c r="CN244" i="1"/>
  <c r="CK244" i="1"/>
  <c r="CO224" i="1"/>
  <c r="CK224" i="1"/>
  <c r="CL224" i="1"/>
  <c r="CN224" i="1"/>
  <c r="CP216" i="1"/>
  <c r="CO204" i="1"/>
  <c r="CK204" i="1"/>
  <c r="CL204" i="1"/>
  <c r="CN204" i="1"/>
  <c r="CK191" i="1"/>
  <c r="CN191" i="1"/>
  <c r="CL191" i="1"/>
  <c r="CO191" i="1"/>
  <c r="CP176" i="1"/>
  <c r="CN164" i="1"/>
  <c r="CK164" i="1"/>
  <c r="CO164" i="1"/>
  <c r="CL164" i="1"/>
  <c r="CO145" i="1"/>
  <c r="CN145" i="1"/>
  <c r="CK145" i="1"/>
  <c r="CL145" i="1"/>
  <c r="CO125" i="1"/>
  <c r="CK125" i="1"/>
  <c r="CL125" i="1"/>
  <c r="CN125" i="1"/>
  <c r="CP117" i="1"/>
  <c r="CP97" i="1"/>
  <c r="CO73" i="1"/>
  <c r="CN73" i="1"/>
  <c r="CK73" i="1"/>
  <c r="CL73" i="1"/>
  <c r="CP127" i="1"/>
  <c r="CP53" i="1"/>
  <c r="CN254" i="1"/>
  <c r="CO254" i="1"/>
  <c r="CK254" i="1"/>
  <c r="CL254" i="1"/>
  <c r="CO19" i="1"/>
  <c r="CN19" i="1"/>
  <c r="CK19" i="1"/>
  <c r="CL19" i="1"/>
  <c r="CO162" i="1"/>
  <c r="CN162" i="1"/>
  <c r="CK162" i="1"/>
  <c r="CL162" i="1"/>
  <c r="CP143" i="1"/>
  <c r="CO123" i="1"/>
  <c r="CK123" i="1"/>
  <c r="CN123" i="1"/>
  <c r="CL123" i="1"/>
  <c r="CJ109" i="1"/>
  <c r="CP47" i="1"/>
  <c r="CP27" i="1"/>
  <c r="CP260" i="1"/>
  <c r="CO248" i="1"/>
  <c r="CL248" i="1"/>
  <c r="CN248" i="1"/>
  <c r="CK248" i="1"/>
  <c r="CJ218" i="1"/>
  <c r="CN155" i="1"/>
  <c r="CK155" i="1"/>
  <c r="CO155" i="1"/>
  <c r="CL155" i="1"/>
  <c r="CK168" i="1"/>
  <c r="CN168" i="1"/>
  <c r="CL168" i="1"/>
  <c r="CO168" i="1"/>
  <c r="CJ248" i="1"/>
  <c r="CN198" i="1"/>
  <c r="CO198" i="1"/>
  <c r="CK198" i="1"/>
  <c r="CL198" i="1"/>
  <c r="CJ145" i="1"/>
  <c r="CJ125" i="1"/>
  <c r="CJ37" i="1"/>
  <c r="CP271" i="1"/>
  <c r="CN261" i="1"/>
  <c r="CK261" i="1"/>
  <c r="CL261" i="1"/>
  <c r="CO261" i="1"/>
  <c r="CN245" i="1"/>
  <c r="CK245" i="1"/>
  <c r="CL245" i="1"/>
  <c r="CO245" i="1"/>
  <c r="CL229" i="1"/>
  <c r="CN229" i="1"/>
  <c r="CK229" i="1"/>
  <c r="CO229" i="1"/>
  <c r="CJ219" i="1"/>
  <c r="CL201" i="1"/>
  <c r="CN201" i="1"/>
  <c r="CK201" i="1"/>
  <c r="CO201" i="1"/>
  <c r="CN185" i="1"/>
  <c r="CO185" i="1"/>
  <c r="CL185" i="1"/>
  <c r="CK185" i="1"/>
  <c r="CN169" i="1"/>
  <c r="CO169" i="1"/>
  <c r="CL169" i="1"/>
  <c r="CK169" i="1"/>
  <c r="CN161" i="1"/>
  <c r="CL161" i="1"/>
  <c r="CO161" i="1"/>
  <c r="CK161" i="1"/>
  <c r="CJ159" i="1"/>
  <c r="CN142" i="1"/>
  <c r="CO142" i="1"/>
  <c r="CL142" i="1"/>
  <c r="CK142" i="1"/>
  <c r="CN134" i="1"/>
  <c r="CO134" i="1"/>
  <c r="CL134" i="1"/>
  <c r="CK134" i="1"/>
  <c r="CN110" i="1"/>
  <c r="CO110" i="1"/>
  <c r="CL110" i="1"/>
  <c r="CK110" i="1"/>
  <c r="CN66" i="1"/>
  <c r="CL66" i="1"/>
  <c r="CO66" i="1"/>
  <c r="CK66" i="1"/>
  <c r="CN58" i="1"/>
  <c r="CL58" i="1"/>
  <c r="CO58" i="1"/>
  <c r="CK58" i="1"/>
  <c r="CN42" i="1"/>
  <c r="CL42" i="1"/>
  <c r="CO42" i="1"/>
  <c r="CK42" i="1"/>
  <c r="CO186" i="1"/>
  <c r="CL186" i="1"/>
  <c r="CK186" i="1"/>
  <c r="CN186" i="1"/>
  <c r="CN214" i="1"/>
  <c r="CO214" i="1"/>
  <c r="CK214" i="1"/>
  <c r="CL214" i="1"/>
  <c r="CP91" i="1"/>
  <c r="CN243" i="1"/>
  <c r="CO243" i="1"/>
  <c r="CK243" i="1"/>
  <c r="CL243" i="1"/>
  <c r="CN227" i="1"/>
  <c r="CO227" i="1"/>
  <c r="CK227" i="1"/>
  <c r="CL227" i="1"/>
  <c r="CP223" i="1"/>
  <c r="CN211" i="1"/>
  <c r="CO211" i="1"/>
  <c r="CK211" i="1"/>
  <c r="CL211" i="1"/>
  <c r="CP207" i="1"/>
  <c r="CJ201" i="1"/>
  <c r="CN195" i="1"/>
  <c r="CO195" i="1"/>
  <c r="CK195" i="1"/>
  <c r="CL195" i="1"/>
  <c r="CP35" i="1"/>
  <c r="CJ185" i="1"/>
  <c r="CK179" i="1"/>
  <c r="CN179" i="1"/>
  <c r="CL179" i="1"/>
  <c r="CO179" i="1"/>
  <c r="CP175" i="1"/>
  <c r="CJ169" i="1"/>
  <c r="CK65" i="1"/>
  <c r="CN65" i="1"/>
  <c r="CL65" i="1"/>
  <c r="CO65" i="1"/>
  <c r="CP159" i="1"/>
  <c r="CN148" i="1"/>
  <c r="CO148" i="1"/>
  <c r="CK148" i="1"/>
  <c r="CL148" i="1"/>
  <c r="CP144" i="1"/>
  <c r="CN132" i="1"/>
  <c r="CO132" i="1"/>
  <c r="CK132" i="1"/>
  <c r="CL132" i="1"/>
  <c r="CN116" i="1"/>
  <c r="CO116" i="1"/>
  <c r="CK116" i="1"/>
  <c r="CL116" i="1"/>
  <c r="CP112" i="1"/>
  <c r="CN100" i="1"/>
  <c r="CO100" i="1"/>
  <c r="CK100" i="1"/>
  <c r="CL100" i="1"/>
  <c r="CP96" i="1"/>
  <c r="CN84" i="1"/>
  <c r="CO84" i="1"/>
  <c r="CK84" i="1"/>
  <c r="CL84" i="1"/>
  <c r="CP80" i="1"/>
  <c r="CJ74" i="1"/>
  <c r="CN68" i="1"/>
  <c r="CO68" i="1"/>
  <c r="CK68" i="1"/>
  <c r="CL68" i="1"/>
  <c r="CP64" i="1"/>
  <c r="CJ58" i="1"/>
  <c r="CN52" i="1"/>
  <c r="CO52" i="1"/>
  <c r="CK52" i="1"/>
  <c r="CL52" i="1"/>
  <c r="CP48" i="1"/>
  <c r="CJ42" i="1"/>
  <c r="CN36" i="1"/>
  <c r="CO36" i="1"/>
  <c r="CK36" i="1"/>
  <c r="CL36" i="1"/>
  <c r="CP32" i="1"/>
  <c r="CO20" i="1"/>
  <c r="CN20" i="1"/>
  <c r="CK20" i="1"/>
  <c r="CL20" i="1"/>
  <c r="CP16" i="1"/>
  <c r="CP256" i="1"/>
  <c r="CP244" i="1"/>
  <c r="CP224" i="1"/>
  <c r="CO212" i="1"/>
  <c r="CK212" i="1"/>
  <c r="CL212" i="1"/>
  <c r="CN212" i="1"/>
  <c r="CP204" i="1"/>
  <c r="CO192" i="1"/>
  <c r="CK192" i="1"/>
  <c r="CL192" i="1"/>
  <c r="CN192" i="1"/>
  <c r="CP191" i="1"/>
  <c r="CK172" i="1"/>
  <c r="CL172" i="1"/>
  <c r="CN172" i="1"/>
  <c r="CO172" i="1"/>
  <c r="CP164" i="1"/>
  <c r="CK120" i="1"/>
  <c r="CN120" i="1"/>
  <c r="CL120" i="1"/>
  <c r="CO120" i="1"/>
  <c r="CP145" i="1"/>
  <c r="CP125" i="1"/>
  <c r="CJ115" i="1"/>
  <c r="CO101" i="1"/>
  <c r="CK101" i="1"/>
  <c r="CL101" i="1"/>
  <c r="CN101" i="1"/>
  <c r="CO81" i="1"/>
  <c r="CN81" i="1"/>
  <c r="CK81" i="1"/>
  <c r="CL81" i="1"/>
  <c r="CP73" i="1"/>
  <c r="CO49" i="1"/>
  <c r="CN49" i="1"/>
  <c r="CK49" i="1"/>
  <c r="CL49" i="1"/>
  <c r="CN242" i="1"/>
  <c r="CO242" i="1"/>
  <c r="CK242" i="1"/>
  <c r="CL242" i="1"/>
  <c r="CN194" i="1"/>
  <c r="CO194" i="1"/>
  <c r="CK194" i="1"/>
  <c r="CL194" i="1"/>
  <c r="CJ191" i="1"/>
  <c r="CP162" i="1"/>
  <c r="CJ120" i="1"/>
  <c r="CJ141" i="1"/>
  <c r="CO131" i="1"/>
  <c r="CK131" i="1"/>
  <c r="CN131" i="1"/>
  <c r="CL131" i="1"/>
  <c r="CP123" i="1"/>
  <c r="CO103" i="1"/>
  <c r="CN103" i="1"/>
  <c r="CK103" i="1"/>
  <c r="CL103" i="1"/>
  <c r="CO83" i="1"/>
  <c r="CK83" i="1"/>
  <c r="CN83" i="1"/>
  <c r="CL83" i="1"/>
  <c r="CO43" i="1"/>
  <c r="CK43" i="1"/>
  <c r="CL43" i="1"/>
  <c r="CN43" i="1"/>
  <c r="CO270" i="1"/>
  <c r="CN270" i="1"/>
  <c r="CK270" i="1"/>
  <c r="CL270" i="1"/>
  <c r="CP248" i="1"/>
  <c r="CJ238" i="1"/>
  <c r="CJ214" i="1"/>
  <c r="CO200" i="1"/>
  <c r="CK200" i="1"/>
  <c r="CL200" i="1"/>
  <c r="CN200" i="1"/>
  <c r="CO188" i="1"/>
  <c r="CK188" i="1"/>
  <c r="CL188" i="1"/>
  <c r="CN188" i="1"/>
  <c r="CP155" i="1"/>
  <c r="CP168" i="1"/>
  <c r="CO133" i="1"/>
  <c r="CK133" i="1"/>
  <c r="CL133" i="1"/>
  <c r="CN133" i="1"/>
  <c r="CO70" i="1"/>
  <c r="CN70" i="1"/>
  <c r="CK70" i="1"/>
  <c r="CL70" i="1"/>
  <c r="CJ103" i="1"/>
  <c r="CO57" i="1"/>
  <c r="CN57" i="1"/>
  <c r="CK57" i="1"/>
  <c r="CL57" i="1"/>
  <c r="CO45" i="1"/>
  <c r="CK45" i="1"/>
  <c r="CL45" i="1"/>
  <c r="CN45" i="1"/>
  <c r="CN25" i="1"/>
  <c r="CO25" i="1"/>
  <c r="CK25" i="1"/>
  <c r="CL25" i="1"/>
  <c r="CJ244" i="1"/>
  <c r="CN234" i="1"/>
  <c r="CO234" i="1"/>
  <c r="CK234" i="1"/>
  <c r="CL234" i="1"/>
  <c r="CP198" i="1"/>
  <c r="CJ188" i="1"/>
  <c r="CO174" i="1"/>
  <c r="CK174" i="1"/>
  <c r="CN174" i="1"/>
  <c r="CL174" i="1"/>
  <c r="CJ133" i="1"/>
  <c r="CO119" i="1"/>
  <c r="CN119" i="1"/>
  <c r="CK119" i="1"/>
  <c r="CL119" i="1"/>
  <c r="CO99" i="1"/>
  <c r="CK99" i="1"/>
  <c r="CN99" i="1"/>
  <c r="CL99" i="1"/>
  <c r="CO75" i="1"/>
  <c r="CK75" i="1"/>
  <c r="CL75" i="1"/>
  <c r="CN75" i="1"/>
  <c r="CJ57" i="1"/>
  <c r="CJ45" i="1"/>
  <c r="CN31" i="1"/>
  <c r="CO31" i="1"/>
  <c r="CK31" i="1"/>
  <c r="CL31" i="1"/>
  <c r="CP261" i="1"/>
  <c r="CP245" i="1"/>
  <c r="CJ243" i="1"/>
  <c r="CJ235" i="1"/>
  <c r="CP229" i="1"/>
  <c r="CJ227" i="1"/>
  <c r="CL217" i="1"/>
  <c r="CN217" i="1"/>
  <c r="CK217" i="1"/>
  <c r="CO217" i="1"/>
  <c r="CL114" i="1"/>
  <c r="CN114" i="1"/>
  <c r="CO114" i="1"/>
  <c r="CK114" i="1"/>
  <c r="CJ207" i="1"/>
  <c r="CP201" i="1"/>
  <c r="CP185" i="1"/>
  <c r="CN177" i="1"/>
  <c r="CL177" i="1"/>
  <c r="CO177" i="1"/>
  <c r="CK177" i="1"/>
  <c r="CP169" i="1"/>
  <c r="CP161" i="1"/>
  <c r="CN157" i="1"/>
  <c r="CL157" i="1"/>
  <c r="CO157" i="1"/>
  <c r="CK157" i="1"/>
  <c r="CN150" i="1"/>
  <c r="CO150" i="1"/>
  <c r="CL150" i="1"/>
  <c r="CK150" i="1"/>
  <c r="CP142" i="1"/>
  <c r="CP134" i="1"/>
  <c r="CJ132" i="1"/>
  <c r="CJ153" i="1"/>
  <c r="CJ116" i="1"/>
  <c r="CP110" i="1"/>
  <c r="CJ108" i="1"/>
  <c r="CJ100" i="1"/>
  <c r="CN163" i="1"/>
  <c r="CL163" i="1"/>
  <c r="CO163" i="1"/>
  <c r="CK163" i="1"/>
  <c r="CN82" i="1"/>
  <c r="CL82" i="1"/>
  <c r="CO82" i="1"/>
  <c r="CK82" i="1"/>
  <c r="CP66" i="1"/>
  <c r="CP58" i="1"/>
  <c r="CP42" i="1"/>
  <c r="CO30" i="1"/>
  <c r="CN30" i="1"/>
  <c r="CL30" i="1"/>
  <c r="CK30" i="1"/>
  <c r="CN22" i="1"/>
  <c r="CO22" i="1"/>
  <c r="CL22" i="1"/>
  <c r="CK22" i="1"/>
  <c r="CP186" i="1"/>
  <c r="CJ12" i="1"/>
  <c r="CP214" i="1"/>
  <c r="CO95" i="1"/>
  <c r="CN95" i="1"/>
  <c r="CK95" i="1"/>
  <c r="CL95" i="1"/>
  <c r="CO71" i="1"/>
  <c r="CN71" i="1"/>
  <c r="CK71" i="1"/>
  <c r="CL71" i="1"/>
  <c r="CO63" i="1"/>
  <c r="CN63" i="1"/>
  <c r="CK63" i="1"/>
  <c r="CL63" i="1"/>
  <c r="CN266" i="1"/>
  <c r="CO266" i="1"/>
  <c r="CK266" i="1"/>
  <c r="CL266" i="1"/>
  <c r="CN251" i="1"/>
  <c r="CO251" i="1"/>
  <c r="CK251" i="1"/>
  <c r="CL251" i="1"/>
  <c r="CN171" i="1"/>
  <c r="CO171" i="1"/>
  <c r="CK171" i="1"/>
  <c r="CL171" i="1"/>
  <c r="CN140" i="1"/>
  <c r="CO140" i="1"/>
  <c r="CK140" i="1"/>
  <c r="CL140" i="1"/>
  <c r="CO236" i="1"/>
  <c r="CL236" i="1"/>
  <c r="CN236" i="1"/>
  <c r="CK236" i="1"/>
  <c r="CO196" i="1"/>
  <c r="CK196" i="1"/>
  <c r="CL196" i="1"/>
  <c r="CN196" i="1"/>
  <c r="CO137" i="1"/>
  <c r="CN137" i="1"/>
  <c r="CK137" i="1"/>
  <c r="CL137" i="1"/>
  <c r="CO127" i="1"/>
  <c r="CN127" i="1"/>
  <c r="CK127" i="1"/>
  <c r="CL127" i="1"/>
  <c r="CO21" i="1"/>
  <c r="CK21" i="1"/>
  <c r="CL21" i="1"/>
  <c r="CN21" i="1"/>
  <c r="CO267" i="1"/>
  <c r="CN267" i="1"/>
  <c r="CK267" i="1"/>
  <c r="CL267" i="1"/>
  <c r="CO105" i="1"/>
  <c r="CN105" i="1"/>
  <c r="CK105" i="1"/>
  <c r="CL105" i="1"/>
  <c r="CO93" i="1"/>
  <c r="CK93" i="1"/>
  <c r="CL93" i="1"/>
  <c r="CN93" i="1"/>
  <c r="CN9" i="1"/>
  <c r="CO9" i="1"/>
  <c r="CK9" i="1"/>
  <c r="CL9" i="1"/>
  <c r="CJ117" i="1"/>
  <c r="CO87" i="1"/>
  <c r="CN87" i="1"/>
  <c r="CK87" i="1"/>
  <c r="CL87" i="1"/>
  <c r="CN15" i="1"/>
  <c r="CO15" i="1"/>
  <c r="CK15" i="1"/>
  <c r="CL15" i="1"/>
  <c r="CJ203" i="1"/>
  <c r="CJ187" i="1"/>
  <c r="CN86" i="1"/>
  <c r="CO86" i="1"/>
  <c r="CL86" i="1"/>
  <c r="CK86" i="1"/>
  <c r="CJ76" i="1"/>
  <c r="CN26" i="1"/>
  <c r="CL26" i="1"/>
  <c r="CO26" i="1"/>
  <c r="CK26" i="1"/>
  <c r="CO154" i="1"/>
  <c r="CN154" i="1"/>
  <c r="CK154" i="1"/>
  <c r="CL154" i="1"/>
  <c r="CO91" i="1"/>
  <c r="CK91" i="1"/>
  <c r="CN91" i="1"/>
  <c r="CL91" i="1"/>
  <c r="CO79" i="1"/>
  <c r="CN79" i="1"/>
  <c r="CK79" i="1"/>
  <c r="CL79" i="1"/>
  <c r="CO121" i="1"/>
  <c r="CK121" i="1"/>
  <c r="CL121" i="1"/>
  <c r="CN121" i="1"/>
  <c r="CN269" i="1"/>
  <c r="CO269" i="1"/>
  <c r="CL269" i="1"/>
  <c r="CK269" i="1"/>
  <c r="CN202" i="1"/>
  <c r="CO202" i="1"/>
  <c r="CK202" i="1"/>
  <c r="CL202" i="1"/>
  <c r="CP251" i="1"/>
  <c r="CN239" i="1"/>
  <c r="CO239" i="1"/>
  <c r="CK239" i="1"/>
  <c r="CL239" i="1"/>
  <c r="CP235" i="1"/>
  <c r="CN35" i="1"/>
  <c r="CO35" i="1"/>
  <c r="CK35" i="1"/>
  <c r="CL35" i="1"/>
  <c r="CP187" i="1"/>
  <c r="CN175" i="1"/>
  <c r="CK175" i="1"/>
  <c r="CO175" i="1"/>
  <c r="CL175" i="1"/>
  <c r="CP171" i="1"/>
  <c r="CP140" i="1"/>
  <c r="CN128" i="1"/>
  <c r="CK128" i="1"/>
  <c r="CL128" i="1"/>
  <c r="CO128" i="1"/>
  <c r="CP153" i="1"/>
  <c r="CJ86" i="1"/>
  <c r="CN80" i="1"/>
  <c r="CK80" i="1"/>
  <c r="CL80" i="1"/>
  <c r="CO80" i="1"/>
  <c r="CP76" i="1"/>
  <c r="CN64" i="1"/>
  <c r="CK64" i="1"/>
  <c r="CL64" i="1"/>
  <c r="CO64" i="1"/>
  <c r="CP60" i="1"/>
  <c r="CN48" i="1"/>
  <c r="CK48" i="1"/>
  <c r="CL48" i="1"/>
  <c r="CO48" i="1"/>
  <c r="CO256" i="1"/>
  <c r="CL256" i="1"/>
  <c r="CN256" i="1"/>
  <c r="CK256" i="1"/>
  <c r="CP236" i="1"/>
  <c r="CP137" i="1"/>
  <c r="CJ87" i="1"/>
  <c r="CO41" i="1"/>
  <c r="CN41" i="1"/>
  <c r="CK41" i="1"/>
  <c r="CL41" i="1"/>
  <c r="CN29" i="1"/>
  <c r="CO29" i="1"/>
  <c r="CK29" i="1"/>
  <c r="CL29" i="1"/>
  <c r="CP21" i="1"/>
  <c r="CN262" i="1"/>
  <c r="CO262" i="1"/>
  <c r="CK262" i="1"/>
  <c r="CL262" i="1"/>
  <c r="CN230" i="1"/>
  <c r="CO230" i="1"/>
  <c r="CK230" i="1"/>
  <c r="CL230" i="1"/>
  <c r="CJ216" i="1"/>
  <c r="CJ176" i="1"/>
  <c r="CP115" i="1"/>
  <c r="CJ97" i="1"/>
  <c r="CO55" i="1"/>
  <c r="CN55" i="1"/>
  <c r="CK55" i="1"/>
  <c r="CL55" i="1"/>
  <c r="CO209" i="1"/>
  <c r="CK209" i="1"/>
  <c r="CL209" i="1"/>
  <c r="CN209" i="1"/>
  <c r="CP267" i="1"/>
  <c r="CP240" i="1"/>
  <c r="CJ230" i="1"/>
  <c r="CK156" i="1"/>
  <c r="CL156" i="1"/>
  <c r="CN156" i="1"/>
  <c r="CO156" i="1"/>
  <c r="CP149" i="1"/>
  <c r="CO113" i="1"/>
  <c r="CN113" i="1"/>
  <c r="CK113" i="1"/>
  <c r="CL113" i="1"/>
  <c r="CP105" i="1"/>
  <c r="CP93" i="1"/>
  <c r="CO69" i="1"/>
  <c r="CK69" i="1"/>
  <c r="CL69" i="1"/>
  <c r="CN69" i="1"/>
  <c r="CP61" i="1"/>
  <c r="CO37" i="1"/>
  <c r="CK37" i="1"/>
  <c r="CL37" i="1"/>
  <c r="CN37" i="1"/>
  <c r="CN17" i="1"/>
  <c r="CK17" i="1"/>
  <c r="CO17" i="1"/>
  <c r="CL17" i="1"/>
  <c r="CN258" i="1"/>
  <c r="CO258" i="1"/>
  <c r="CK258" i="1"/>
  <c r="CL258" i="1"/>
  <c r="CN210" i="1"/>
  <c r="CO210" i="1"/>
  <c r="CK210" i="1"/>
  <c r="CL210" i="1"/>
  <c r="CN190" i="1"/>
  <c r="CO190" i="1"/>
  <c r="CK190" i="1"/>
  <c r="CL190" i="1"/>
  <c r="CJ155" i="1"/>
  <c r="CO166" i="1"/>
  <c r="CN166" i="1"/>
  <c r="CK166" i="1"/>
  <c r="CL166" i="1"/>
  <c r="CJ137" i="1"/>
  <c r="CO111" i="1"/>
  <c r="CN111" i="1"/>
  <c r="CK111" i="1"/>
  <c r="CL111" i="1"/>
  <c r="CJ105" i="1"/>
  <c r="CP87" i="1"/>
  <c r="CJ69" i="1"/>
  <c r="CN23" i="1"/>
  <c r="CO23" i="1"/>
  <c r="CK23" i="1"/>
  <c r="CL23" i="1"/>
  <c r="CN268" i="1"/>
  <c r="CK268" i="1"/>
  <c r="CO268" i="1"/>
  <c r="CL268" i="1"/>
  <c r="CN253" i="1"/>
  <c r="CK253" i="1"/>
  <c r="CO253" i="1"/>
  <c r="CL253" i="1"/>
  <c r="CN237" i="1"/>
  <c r="CK237" i="1"/>
  <c r="CO237" i="1"/>
  <c r="CL237" i="1"/>
  <c r="CP221" i="1"/>
  <c r="CP213" i="1"/>
  <c r="CL193" i="1"/>
  <c r="CN193" i="1"/>
  <c r="CO193" i="1"/>
  <c r="CK193" i="1"/>
  <c r="CP146" i="1"/>
  <c r="CN126" i="1"/>
  <c r="CO126" i="1"/>
  <c r="CL126" i="1"/>
  <c r="CK126" i="1"/>
  <c r="CN118" i="1"/>
  <c r="CO118" i="1"/>
  <c r="CL118" i="1"/>
  <c r="CK118" i="1"/>
  <c r="CN102" i="1"/>
  <c r="CO102" i="1"/>
  <c r="CL102" i="1"/>
  <c r="CK102" i="1"/>
  <c r="CP94" i="1"/>
  <c r="CJ180" i="1"/>
  <c r="CN74" i="1"/>
  <c r="CL74" i="1"/>
  <c r="CO74" i="1"/>
  <c r="CK74" i="1"/>
  <c r="CN50" i="1"/>
  <c r="CL50" i="1"/>
  <c r="CO50" i="1"/>
  <c r="CK50" i="1"/>
  <c r="CN34" i="1"/>
  <c r="CL34" i="1"/>
  <c r="CO34" i="1"/>
  <c r="CK34" i="1"/>
  <c r="CJ32" i="1"/>
  <c r="CP26" i="1"/>
  <c r="CP18" i="1"/>
  <c r="CN222" i="1"/>
  <c r="CO222" i="1"/>
  <c r="CK222" i="1"/>
  <c r="CL222" i="1"/>
  <c r="CO151" i="1"/>
  <c r="CN151" i="1"/>
  <c r="CK151" i="1"/>
  <c r="CL151" i="1"/>
  <c r="CO139" i="1"/>
  <c r="CK139" i="1"/>
  <c r="CL139" i="1"/>
  <c r="CN139" i="1"/>
  <c r="CP121" i="1"/>
  <c r="CN11" i="1"/>
  <c r="CO11" i="1"/>
  <c r="CK11" i="1"/>
  <c r="CL11" i="1"/>
  <c r="CN259" i="1"/>
  <c r="CO259" i="1"/>
  <c r="CK259" i="1"/>
  <c r="CL259" i="1"/>
  <c r="CP202" i="1"/>
  <c r="CJ268" i="1"/>
  <c r="CN263" i="1"/>
  <c r="CO263" i="1"/>
  <c r="CK263" i="1"/>
  <c r="CL263" i="1"/>
  <c r="CP259" i="1"/>
  <c r="CJ253" i="1"/>
  <c r="CN247" i="1"/>
  <c r="CO247" i="1"/>
  <c r="CK247" i="1"/>
  <c r="CL247" i="1"/>
  <c r="CP243" i="1"/>
  <c r="CJ237" i="1"/>
  <c r="CN231" i="1"/>
  <c r="CO231" i="1"/>
  <c r="CK231" i="1"/>
  <c r="CL231" i="1"/>
  <c r="CP227" i="1"/>
  <c r="CJ221" i="1"/>
  <c r="CN215" i="1"/>
  <c r="CO215" i="1"/>
  <c r="CK215" i="1"/>
  <c r="CL215" i="1"/>
  <c r="CP211" i="1"/>
  <c r="CN199" i="1"/>
  <c r="CO199" i="1"/>
  <c r="CK199" i="1"/>
  <c r="CL199" i="1"/>
  <c r="CP195" i="1"/>
  <c r="CO183" i="1"/>
  <c r="CK183" i="1"/>
  <c r="CL183" i="1"/>
  <c r="CN183" i="1"/>
  <c r="CP179" i="1"/>
  <c r="CO167" i="1"/>
  <c r="CK167" i="1"/>
  <c r="CL167" i="1"/>
  <c r="CN167" i="1"/>
  <c r="CP65" i="1"/>
  <c r="CO152" i="1"/>
  <c r="CK152" i="1"/>
  <c r="CL152" i="1"/>
  <c r="CN152" i="1"/>
  <c r="CP148" i="1"/>
  <c r="CJ142" i="1"/>
  <c r="CN136" i="1"/>
  <c r="CK136" i="1"/>
  <c r="CL136" i="1"/>
  <c r="CO136" i="1"/>
  <c r="CP132" i="1"/>
  <c r="CJ126" i="1"/>
  <c r="CN67" i="1"/>
  <c r="CK67" i="1"/>
  <c r="CL67" i="1"/>
  <c r="CO67" i="1"/>
  <c r="CP116" i="1"/>
  <c r="CJ110" i="1"/>
  <c r="CN104" i="1"/>
  <c r="CK104" i="1"/>
  <c r="CL104" i="1"/>
  <c r="CO104" i="1"/>
  <c r="CP100" i="1"/>
  <c r="CJ94" i="1"/>
  <c r="CN88" i="1"/>
  <c r="CK88" i="1"/>
  <c r="CL88" i="1"/>
  <c r="CO88" i="1"/>
  <c r="CP84" i="1"/>
  <c r="CN72" i="1"/>
  <c r="CK72" i="1"/>
  <c r="CL72" i="1"/>
  <c r="CO72" i="1"/>
  <c r="CP68" i="1"/>
  <c r="CN56" i="1"/>
  <c r="CK56" i="1"/>
  <c r="CL56" i="1"/>
  <c r="CO56" i="1"/>
  <c r="CP52" i="1"/>
  <c r="CN40" i="1"/>
  <c r="CK40" i="1"/>
  <c r="CL40" i="1"/>
  <c r="CO40" i="1"/>
  <c r="CP36" i="1"/>
  <c r="CO24" i="1"/>
  <c r="CN24" i="1"/>
  <c r="CK24" i="1"/>
  <c r="CL24" i="1"/>
  <c r="CP20" i="1"/>
  <c r="CJ186" i="1"/>
  <c r="CO8" i="1"/>
  <c r="CN8" i="1"/>
  <c r="CK8" i="1"/>
  <c r="CL8" i="1"/>
  <c r="CJ265" i="1"/>
  <c r="CJ254" i="1"/>
  <c r="CO228" i="1"/>
  <c r="CK228" i="1"/>
  <c r="CL228" i="1"/>
  <c r="CN228" i="1"/>
  <c r="CJ222" i="1"/>
  <c r="CP212" i="1"/>
  <c r="CP192" i="1"/>
  <c r="CP172" i="1"/>
  <c r="CO160" i="1"/>
  <c r="CK160" i="1"/>
  <c r="CL160" i="1"/>
  <c r="CN160" i="1"/>
  <c r="CP120" i="1"/>
  <c r="CJ143" i="1"/>
  <c r="CO129" i="1"/>
  <c r="CN129" i="1"/>
  <c r="CK129" i="1"/>
  <c r="CL129" i="1"/>
  <c r="CJ123" i="1"/>
  <c r="CP109" i="1"/>
  <c r="CP101" i="1"/>
  <c r="CO124" i="1"/>
  <c r="CN124" i="1"/>
  <c r="CK124" i="1"/>
  <c r="CL124" i="1"/>
  <c r="CP81" i="1"/>
  <c r="CP49" i="1"/>
  <c r="CJ27" i="1"/>
  <c r="CN13" i="1"/>
  <c r="CO13" i="1"/>
  <c r="CK13" i="1"/>
  <c r="CL13" i="1"/>
  <c r="CP265" i="1"/>
  <c r="CJ260" i="1"/>
  <c r="CN246" i="1"/>
  <c r="CO246" i="1"/>
  <c r="CK246" i="1"/>
  <c r="CL246" i="1"/>
  <c r="CJ240" i="1"/>
  <c r="CJ228" i="1"/>
  <c r="CP218" i="1"/>
  <c r="CN255" i="1"/>
  <c r="CO255" i="1"/>
  <c r="CK255" i="1"/>
  <c r="CL255" i="1"/>
  <c r="CJ192" i="1"/>
  <c r="CO178" i="1"/>
  <c r="CN178" i="1"/>
  <c r="CK178" i="1"/>
  <c r="CL178" i="1"/>
  <c r="CO170" i="1"/>
  <c r="CN170" i="1"/>
  <c r="CK170" i="1"/>
  <c r="CL170" i="1"/>
  <c r="CO158" i="1"/>
  <c r="CK158" i="1"/>
  <c r="CN158" i="1"/>
  <c r="CL158" i="1"/>
  <c r="CJ149" i="1"/>
  <c r="CP131" i="1"/>
  <c r="CP103" i="1"/>
  <c r="CP83" i="1"/>
  <c r="CO59" i="1"/>
  <c r="CK59" i="1"/>
  <c r="CN59" i="1"/>
  <c r="CL59" i="1"/>
  <c r="CJ53" i="1"/>
  <c r="CP43" i="1"/>
  <c r="CN90" i="1"/>
  <c r="CO90" i="1"/>
  <c r="CK90" i="1"/>
  <c r="CL90" i="1"/>
  <c r="CP270" i="1"/>
  <c r="CO252" i="1"/>
  <c r="CL252" i="1"/>
  <c r="CN252" i="1"/>
  <c r="CK252" i="1"/>
  <c r="CJ246" i="1"/>
  <c r="CO232" i="1"/>
  <c r="CK232" i="1"/>
  <c r="CL232" i="1"/>
  <c r="CN232" i="1"/>
  <c r="CO220" i="1"/>
  <c r="CK220" i="1"/>
  <c r="CL220" i="1"/>
  <c r="CN220" i="1"/>
  <c r="CO208" i="1"/>
  <c r="CK208" i="1"/>
  <c r="CL208" i="1"/>
  <c r="CN208" i="1"/>
  <c r="CP200" i="1"/>
  <c r="CP188" i="1"/>
  <c r="CJ178" i="1"/>
  <c r="CJ166" i="1"/>
  <c r="CJ154" i="1"/>
  <c r="CP141" i="1"/>
  <c r="CP133" i="1"/>
  <c r="CP70" i="1"/>
  <c r="CJ111" i="1"/>
  <c r="CO85" i="1"/>
  <c r="CK85" i="1"/>
  <c r="CL85" i="1"/>
  <c r="CN85" i="1"/>
  <c r="CO77" i="1"/>
  <c r="CK77" i="1"/>
  <c r="CL77" i="1"/>
  <c r="CN77" i="1"/>
  <c r="CJ121" i="1"/>
  <c r="CP57" i="1"/>
  <c r="CP45" i="1"/>
  <c r="CO33" i="1"/>
  <c r="CN33" i="1"/>
  <c r="CK33" i="1"/>
  <c r="CL33" i="1"/>
  <c r="CP25" i="1"/>
  <c r="CJ15" i="1"/>
  <c r="CJ270" i="1"/>
  <c r="CP250" i="1"/>
  <c r="CP238" i="1"/>
  <c r="CJ232" i="1"/>
  <c r="CJ224" i="1"/>
  <c r="CN206" i="1"/>
  <c r="CO206" i="1"/>
  <c r="CK206" i="1"/>
  <c r="CL206" i="1"/>
  <c r="CJ196" i="1"/>
  <c r="CO182" i="1"/>
  <c r="CN182" i="1"/>
  <c r="CK182" i="1"/>
  <c r="CL182" i="1"/>
  <c r="CP174" i="1"/>
  <c r="CJ164" i="1"/>
  <c r="CO147" i="1"/>
  <c r="CK147" i="1"/>
  <c r="CN147" i="1"/>
  <c r="CL147" i="1"/>
  <c r="CO14" i="1"/>
  <c r="CN14" i="1"/>
  <c r="CK14" i="1"/>
  <c r="CL14" i="1"/>
  <c r="CP119" i="1"/>
  <c r="CO107" i="1"/>
  <c r="CK107" i="1"/>
  <c r="CL107" i="1"/>
  <c r="CN107" i="1"/>
  <c r="CP99" i="1"/>
  <c r="CJ93" i="1"/>
  <c r="CP75" i="1"/>
  <c r="CO51" i="1"/>
  <c r="CK51" i="1"/>
  <c r="CN51" i="1"/>
  <c r="CL51" i="1"/>
  <c r="CO39" i="1"/>
  <c r="CN39" i="1"/>
  <c r="CK39" i="1"/>
  <c r="CL39" i="1"/>
  <c r="CP31" i="1"/>
  <c r="CJ21" i="1"/>
  <c r="CN7" i="1"/>
  <c r="CO7" i="1"/>
  <c r="CK7" i="1"/>
  <c r="CL7" i="1"/>
  <c r="CN264" i="1"/>
  <c r="CL264" i="1"/>
  <c r="CO264" i="1"/>
  <c r="CK264" i="1"/>
  <c r="CN257" i="1"/>
  <c r="CO257" i="1"/>
  <c r="CK257" i="1"/>
  <c r="CL257" i="1"/>
  <c r="CN249" i="1"/>
  <c r="CL249" i="1"/>
  <c r="CO249" i="1"/>
  <c r="CK249" i="1"/>
  <c r="CN241" i="1"/>
  <c r="CO241" i="1"/>
  <c r="CL241" i="1"/>
  <c r="CK241" i="1"/>
  <c r="CL233" i="1"/>
  <c r="CN233" i="1"/>
  <c r="CO233" i="1"/>
  <c r="CK233" i="1"/>
  <c r="CL225" i="1"/>
  <c r="CN225" i="1"/>
  <c r="CO225" i="1"/>
  <c r="CK225" i="1"/>
  <c r="CJ223" i="1"/>
  <c r="CP217" i="1"/>
  <c r="CJ215" i="1"/>
  <c r="CP114" i="1"/>
  <c r="CL205" i="1"/>
  <c r="CN205" i="1"/>
  <c r="CO205" i="1"/>
  <c r="CK205" i="1"/>
  <c r="CL197" i="1"/>
  <c r="CN197" i="1"/>
  <c r="CK197" i="1"/>
  <c r="CO197" i="1"/>
  <c r="CL189" i="1"/>
  <c r="CN189" i="1"/>
  <c r="CO189" i="1"/>
  <c r="CK189" i="1"/>
  <c r="CN181" i="1"/>
  <c r="CL181" i="1"/>
  <c r="CO181" i="1"/>
  <c r="CK181" i="1"/>
  <c r="CN173" i="1"/>
  <c r="CL173" i="1"/>
  <c r="CO173" i="1"/>
  <c r="CK173" i="1"/>
  <c r="CN165" i="1"/>
  <c r="CL165" i="1"/>
  <c r="CK165" i="1"/>
  <c r="CO165" i="1"/>
  <c r="CP157" i="1"/>
  <c r="CJ92" i="1"/>
  <c r="CP150" i="1"/>
  <c r="CJ148" i="1"/>
  <c r="CN138" i="1"/>
  <c r="CL138" i="1"/>
  <c r="CO138" i="1"/>
  <c r="CK138" i="1"/>
  <c r="CN130" i="1"/>
  <c r="CL130" i="1"/>
  <c r="CO130" i="1"/>
  <c r="CK130" i="1"/>
  <c r="CN122" i="1"/>
  <c r="CL122" i="1"/>
  <c r="CO122" i="1"/>
  <c r="CK122" i="1"/>
  <c r="CN89" i="1"/>
  <c r="CL89" i="1"/>
  <c r="CO89" i="1"/>
  <c r="CK89" i="1"/>
  <c r="CN106" i="1"/>
  <c r="CL106" i="1"/>
  <c r="CO106" i="1"/>
  <c r="CK106" i="1"/>
  <c r="CN98" i="1"/>
  <c r="CL98" i="1"/>
  <c r="CO98" i="1"/>
  <c r="CK98" i="1"/>
  <c r="CJ96" i="1"/>
  <c r="CP163" i="1"/>
  <c r="CJ88" i="1"/>
  <c r="CP82" i="1"/>
  <c r="CN78" i="1"/>
  <c r="CO78" i="1"/>
  <c r="CL78" i="1"/>
  <c r="CK78" i="1"/>
  <c r="CN184" i="1"/>
  <c r="CO184" i="1"/>
  <c r="CL184" i="1"/>
  <c r="CK184" i="1"/>
  <c r="CN62" i="1"/>
  <c r="CO62" i="1"/>
  <c r="CL62" i="1"/>
  <c r="CK62" i="1"/>
  <c r="CN54" i="1"/>
  <c r="CO54" i="1"/>
  <c r="CL54" i="1"/>
  <c r="CK54" i="1"/>
  <c r="CN46" i="1"/>
  <c r="CO46" i="1"/>
  <c r="CL46" i="1"/>
  <c r="CK46" i="1"/>
  <c r="CN38" i="1"/>
  <c r="CO38" i="1"/>
  <c r="CL38" i="1"/>
  <c r="CK38" i="1"/>
  <c r="CP30" i="1"/>
  <c r="CJ28" i="1"/>
  <c r="CP22" i="1"/>
  <c r="CJ20" i="1"/>
  <c r="CN10" i="1"/>
  <c r="CL10" i="1"/>
  <c r="CO10" i="1"/>
  <c r="CK10" i="1"/>
  <c r="CN226" i="1"/>
  <c r="CO226" i="1"/>
  <c r="CK226" i="1"/>
  <c r="CL226" i="1"/>
  <c r="CJ212" i="1"/>
  <c r="CP154" i="1"/>
  <c r="CO135" i="1"/>
  <c r="CN135" i="1"/>
  <c r="CK135" i="1"/>
  <c r="CL135" i="1"/>
  <c r="CP95" i="1"/>
  <c r="CP71" i="1"/>
  <c r="CP63" i="1"/>
  <c r="CJ9" i="1"/>
  <c r="C36" i="3" l="1"/>
  <c r="F35" i="3"/>
  <c r="E43" i="3"/>
  <c r="CQ250" i="1" a="1"/>
  <c r="CQ250" i="1" s="1"/>
  <c r="CR172" i="1" a="1"/>
  <c r="CR172" i="1" s="1"/>
  <c r="CR242" i="1" a="1"/>
  <c r="CR242" i="1" s="1"/>
  <c r="CR211" i="1" a="1"/>
  <c r="CR211" i="1" s="1"/>
  <c r="CR127" i="1" a="1"/>
  <c r="CR127" i="1" s="1"/>
  <c r="CR140" i="1" a="1"/>
  <c r="CR140" i="1" s="1"/>
  <c r="CQ171" i="1" a="1"/>
  <c r="CQ171" i="1" s="1"/>
  <c r="CQ251" i="1" a="1"/>
  <c r="CQ251" i="1" s="1"/>
  <c r="CQ266" i="1" a="1"/>
  <c r="CQ266" i="1" s="1"/>
  <c r="CR75" i="1" a="1"/>
  <c r="CR75" i="1" s="1"/>
  <c r="CQ194" i="1" a="1"/>
  <c r="CQ194" i="1" s="1"/>
  <c r="CR165" i="1" a="1"/>
  <c r="CR165" i="1" s="1"/>
  <c r="CR257" i="1" a="1"/>
  <c r="CR257" i="1" s="1"/>
  <c r="CQ182" i="1" a="1"/>
  <c r="CQ182" i="1" s="1"/>
  <c r="CQ23" i="1" a="1"/>
  <c r="CQ23" i="1" s="1"/>
  <c r="CR269" i="1" a="1"/>
  <c r="CR269" i="1" s="1"/>
  <c r="CQ26" i="1" a="1"/>
  <c r="CQ26" i="1" s="1"/>
  <c r="CQ158" i="1" a="1"/>
  <c r="CQ158" i="1" s="1"/>
  <c r="CQ124" i="1" a="1"/>
  <c r="CQ124" i="1" s="1"/>
  <c r="CR8" i="1" a="1"/>
  <c r="CR8" i="1" s="1"/>
  <c r="CQ40" i="1" a="1"/>
  <c r="CQ40" i="1" s="1"/>
  <c r="CR167" i="1" a="1"/>
  <c r="CR167" i="1" s="1"/>
  <c r="CQ231" i="1" a="1"/>
  <c r="CQ231" i="1" s="1"/>
  <c r="CQ263" i="1" a="1"/>
  <c r="CQ263" i="1" s="1"/>
  <c r="CR139" i="1" a="1"/>
  <c r="CR139" i="1" s="1"/>
  <c r="CR193" i="1" a="1"/>
  <c r="CR193" i="1" s="1"/>
  <c r="CR209" i="1" a="1"/>
  <c r="CR209" i="1" s="1"/>
  <c r="CQ29" i="1" a="1"/>
  <c r="CQ29" i="1" s="1"/>
  <c r="CR48" i="1" a="1"/>
  <c r="CR48" i="1" s="1"/>
  <c r="CQ128" i="1" a="1"/>
  <c r="CQ128" i="1" s="1"/>
  <c r="CR226" i="1" a="1"/>
  <c r="CR226" i="1" s="1"/>
  <c r="CR7" i="1" a="1"/>
  <c r="CR7" i="1" s="1"/>
  <c r="CQ63" i="1" a="1"/>
  <c r="CQ63" i="1" s="1"/>
  <c r="CQ70" i="1" a="1"/>
  <c r="CQ70" i="1" s="1"/>
  <c r="CQ49" i="1" a="1"/>
  <c r="CQ49" i="1" s="1"/>
  <c r="CR101" i="1" a="1"/>
  <c r="CR101" i="1" s="1"/>
  <c r="CR52" i="1" a="1"/>
  <c r="CR52" i="1" s="1"/>
  <c r="CR134" i="1" a="1"/>
  <c r="CR134" i="1" s="1"/>
  <c r="CR162" i="1" a="1"/>
  <c r="CR162" i="1" s="1"/>
  <c r="CQ47" i="1" a="1"/>
  <c r="CQ47" i="1" s="1"/>
  <c r="CR197" i="1" a="1"/>
  <c r="CR197" i="1" s="1"/>
  <c r="CR90" i="1" a="1"/>
  <c r="CR90" i="1" s="1"/>
  <c r="CQ95" i="1" a="1"/>
  <c r="CQ95" i="1" s="1"/>
  <c r="CQ198" i="1" a="1"/>
  <c r="CQ198" i="1" s="1"/>
  <c r="CR206" i="1" a="1"/>
  <c r="CR206" i="1" s="1"/>
  <c r="CR33" i="1" a="1"/>
  <c r="CR33" i="1" s="1"/>
  <c r="CQ77" i="1" a="1"/>
  <c r="CQ77" i="1" s="1"/>
  <c r="CQ85" i="1" a="1"/>
  <c r="CQ85" i="1" s="1"/>
  <c r="CR252" i="1" a="1"/>
  <c r="CR252" i="1" s="1"/>
  <c r="CQ90" i="1" a="1"/>
  <c r="CQ90" i="1" s="1"/>
  <c r="CR13" i="1" a="1"/>
  <c r="CR13" i="1" s="1"/>
  <c r="CR56" i="1" a="1"/>
  <c r="CR56" i="1" s="1"/>
  <c r="CQ104" i="1" a="1"/>
  <c r="CQ104" i="1" s="1"/>
  <c r="CQ136" i="1" a="1"/>
  <c r="CQ136" i="1" s="1"/>
  <c r="CQ183" i="1" a="1"/>
  <c r="CQ183" i="1" s="1"/>
  <c r="CQ199" i="1" a="1"/>
  <c r="CQ199" i="1" s="1"/>
  <c r="CR34" i="1" a="1"/>
  <c r="CR34" i="1" s="1"/>
  <c r="CQ50" i="1" a="1"/>
  <c r="CQ50" i="1" s="1"/>
  <c r="CQ156" i="1" a="1"/>
  <c r="CQ156" i="1" s="1"/>
  <c r="CQ64" i="1" a="1"/>
  <c r="CQ64" i="1" s="1"/>
  <c r="CQ175" i="1" a="1"/>
  <c r="CQ175" i="1" s="1"/>
  <c r="CQ239" i="1" a="1"/>
  <c r="CQ239" i="1" s="1"/>
  <c r="CR79" i="1" a="1"/>
  <c r="CR79" i="1" s="1"/>
  <c r="CQ127" i="1" a="1"/>
  <c r="CQ127" i="1" s="1"/>
  <c r="CR171" i="1" a="1"/>
  <c r="CR171" i="1" s="1"/>
  <c r="CR82" i="1" a="1"/>
  <c r="CR82" i="1" s="1"/>
  <c r="CR150" i="1" a="1"/>
  <c r="CR150" i="1" s="1"/>
  <c r="CR174" i="1" a="1"/>
  <c r="CR174" i="1" s="1"/>
  <c r="CR25" i="1" a="1"/>
  <c r="CR25" i="1" s="1"/>
  <c r="CR70" i="1" a="1"/>
  <c r="CR70" i="1" s="1"/>
  <c r="CR81" i="1" a="1"/>
  <c r="CR81" i="1" s="1"/>
  <c r="CQ172" i="1" a="1"/>
  <c r="CQ172" i="1" s="1"/>
  <c r="CR66" i="1" a="1"/>
  <c r="CR66" i="1" s="1"/>
  <c r="CQ73" i="1" a="1"/>
  <c r="CQ73" i="1" s="1"/>
  <c r="CR204" i="1" a="1"/>
  <c r="CR204" i="1" s="1"/>
  <c r="CQ144" i="1" a="1"/>
  <c r="CQ144" i="1" s="1"/>
  <c r="CR250" i="1" a="1"/>
  <c r="CR250" i="1" s="1"/>
  <c r="CR18" i="1" a="1"/>
  <c r="CR18" i="1" s="1"/>
  <c r="CR202" i="1" a="1"/>
  <c r="CR202" i="1" s="1"/>
  <c r="CQ84" i="1" a="1"/>
  <c r="CQ84" i="1" s="1"/>
  <c r="CQ135" i="1" a="1"/>
  <c r="CQ135" i="1" s="1"/>
  <c r="CR39" i="1" a="1"/>
  <c r="CR39" i="1" s="1"/>
  <c r="CQ107" i="1" a="1"/>
  <c r="CQ107" i="1" s="1"/>
  <c r="CR14" i="1" a="1"/>
  <c r="CR14" i="1" s="1"/>
  <c r="CQ208" i="1" a="1"/>
  <c r="CQ208" i="1" s="1"/>
  <c r="CR220" i="1" a="1"/>
  <c r="CR220" i="1" s="1"/>
  <c r="CQ255" i="1" a="1"/>
  <c r="CQ255" i="1" s="1"/>
  <c r="CQ160" i="1" a="1"/>
  <c r="CQ160" i="1" s="1"/>
  <c r="CR24" i="1" a="1"/>
  <c r="CR24" i="1" s="1"/>
  <c r="CQ72" i="1" a="1"/>
  <c r="CQ72" i="1" s="1"/>
  <c r="CQ247" i="1" a="1"/>
  <c r="CQ247" i="1" s="1"/>
  <c r="CR259" i="1" a="1"/>
  <c r="CR259" i="1" s="1"/>
  <c r="CQ11" i="1" a="1"/>
  <c r="CQ11" i="1" s="1"/>
  <c r="CR190" i="1" a="1"/>
  <c r="CR190" i="1" s="1"/>
  <c r="CQ210" i="1" a="1"/>
  <c r="CQ210" i="1" s="1"/>
  <c r="CQ258" i="1" a="1"/>
  <c r="CQ258" i="1" s="1"/>
  <c r="CR83" i="1" a="1"/>
  <c r="CR83" i="1" s="1"/>
  <c r="CQ113" i="1" a="1"/>
  <c r="CQ113" i="1" s="1"/>
  <c r="CR156" i="1" a="1"/>
  <c r="CR156" i="1" s="1"/>
  <c r="CQ256" i="1" a="1"/>
  <c r="CQ256" i="1" s="1"/>
  <c r="CR80" i="1" a="1"/>
  <c r="CR80" i="1" s="1"/>
  <c r="CR175" i="1" a="1"/>
  <c r="CR175" i="1" s="1"/>
  <c r="CQ35" i="1" a="1"/>
  <c r="CQ35" i="1" s="1"/>
  <c r="CR91" i="1" a="1"/>
  <c r="CR91" i="1" s="1"/>
  <c r="CQ22" i="1" a="1"/>
  <c r="CQ22" i="1" s="1"/>
  <c r="CR114" i="1" a="1"/>
  <c r="CR114" i="1" s="1"/>
  <c r="CR68" i="1" a="1"/>
  <c r="CR68" i="1" s="1"/>
  <c r="CQ161" i="1" a="1"/>
  <c r="CQ161" i="1" s="1"/>
  <c r="CQ16" i="1" a="1"/>
  <c r="CQ16" i="1" s="1"/>
  <c r="CR271" i="1" a="1"/>
  <c r="CR271" i="1" s="1"/>
  <c r="CR71" i="1" a="1"/>
  <c r="CR71" i="1" s="1"/>
  <c r="CR10" i="1" a="1"/>
  <c r="CR10" i="1" s="1"/>
  <c r="CQ38" i="1" a="1"/>
  <c r="CQ38" i="1" s="1"/>
  <c r="CQ46" i="1" a="1"/>
  <c r="CQ46" i="1" s="1"/>
  <c r="CR54" i="1" a="1"/>
  <c r="CR54" i="1" s="1"/>
  <c r="CR62" i="1" a="1"/>
  <c r="CR62" i="1" s="1"/>
  <c r="CR184" i="1" a="1"/>
  <c r="CR184" i="1" s="1"/>
  <c r="CR78" i="1" a="1"/>
  <c r="CR78" i="1" s="1"/>
  <c r="CR98" i="1" a="1"/>
  <c r="CR98" i="1" s="1"/>
  <c r="CR106" i="1" a="1"/>
  <c r="CR106" i="1" s="1"/>
  <c r="CR89" i="1" a="1"/>
  <c r="CR89" i="1" s="1"/>
  <c r="CQ122" i="1" a="1"/>
  <c r="CQ122" i="1" s="1"/>
  <c r="CR130" i="1" a="1"/>
  <c r="CR130" i="1" s="1"/>
  <c r="CQ138" i="1" a="1"/>
  <c r="CQ138" i="1" s="1"/>
  <c r="CQ165" i="1" a="1"/>
  <c r="CQ165" i="1" s="1"/>
  <c r="CR173" i="1" a="1"/>
  <c r="CR173" i="1" s="1"/>
  <c r="CQ181" i="1" a="1"/>
  <c r="CQ181" i="1" s="1"/>
  <c r="CR189" i="1" a="1"/>
  <c r="CR189" i="1" s="1"/>
  <c r="CQ197" i="1" a="1"/>
  <c r="CQ197" i="1" s="1"/>
  <c r="CQ205" i="1" a="1"/>
  <c r="CQ205" i="1" s="1"/>
  <c r="CR225" i="1" a="1"/>
  <c r="CR225" i="1" s="1"/>
  <c r="CQ233" i="1" a="1"/>
  <c r="CQ233" i="1" s="1"/>
  <c r="CQ241" i="1" a="1"/>
  <c r="CQ241" i="1" s="1"/>
  <c r="CQ249" i="1" a="1"/>
  <c r="CQ249" i="1" s="1"/>
  <c r="CQ264" i="1" a="1"/>
  <c r="CQ264" i="1" s="1"/>
  <c r="CQ39" i="1" a="1"/>
  <c r="CQ39" i="1" s="1"/>
  <c r="CR51" i="1" a="1"/>
  <c r="CR51" i="1" s="1"/>
  <c r="CQ99" i="1" a="1"/>
  <c r="CQ99" i="1" s="1"/>
  <c r="CR107" i="1" a="1"/>
  <c r="CR107" i="1" s="1"/>
  <c r="CQ147" i="1" a="1"/>
  <c r="CQ147" i="1" s="1"/>
  <c r="CR43" i="1" a="1"/>
  <c r="CR43" i="1" s="1"/>
  <c r="CR59" i="1" a="1"/>
  <c r="CR59" i="1" s="1"/>
  <c r="CR170" i="1" a="1"/>
  <c r="CR170" i="1" s="1"/>
  <c r="CR129" i="1" a="1"/>
  <c r="CR129" i="1" s="1"/>
  <c r="CQ67" i="1" a="1"/>
  <c r="CQ67" i="1" s="1"/>
  <c r="CQ152" i="1" a="1"/>
  <c r="CQ152" i="1" s="1"/>
  <c r="CR151" i="1" a="1"/>
  <c r="CR151" i="1" s="1"/>
  <c r="CR102" i="1" a="1"/>
  <c r="CR102" i="1" s="1"/>
  <c r="CR118" i="1" a="1"/>
  <c r="CR118" i="1" s="1"/>
  <c r="CQ146" i="1" a="1"/>
  <c r="CQ146" i="1" s="1"/>
  <c r="CR210" i="1" a="1"/>
  <c r="CR210" i="1" s="1"/>
  <c r="CR258" i="1" a="1"/>
  <c r="CR258" i="1" s="1"/>
  <c r="CR17" i="1" a="1"/>
  <c r="CR17" i="1" s="1"/>
  <c r="CQ55" i="1" a="1"/>
  <c r="CQ55" i="1" s="1"/>
  <c r="CQ262" i="1" a="1"/>
  <c r="CQ262" i="1" s="1"/>
  <c r="CR239" i="1" a="1"/>
  <c r="CR239" i="1" s="1"/>
  <c r="CQ261" i="1" a="1"/>
  <c r="CQ261" i="1" s="1"/>
  <c r="CR267" i="1" a="1"/>
  <c r="CR267" i="1" s="1"/>
  <c r="CR236" i="1" a="1"/>
  <c r="CR236" i="1" s="1"/>
  <c r="CQ150" i="1" a="1"/>
  <c r="CQ150" i="1" s="1"/>
  <c r="CQ177" i="1" a="1"/>
  <c r="CQ177" i="1" s="1"/>
  <c r="CQ114" i="1" a="1"/>
  <c r="CQ114" i="1" s="1"/>
  <c r="CQ217" i="1" a="1"/>
  <c r="CQ217" i="1" s="1"/>
  <c r="CR99" i="1" a="1"/>
  <c r="CR99" i="1" s="1"/>
  <c r="CQ119" i="1" a="1"/>
  <c r="CQ119" i="1" s="1"/>
  <c r="CQ234" i="1" a="1"/>
  <c r="CQ234" i="1" s="1"/>
  <c r="CQ25" i="1" a="1"/>
  <c r="CQ25" i="1" s="1"/>
  <c r="CQ200" i="1" a="1"/>
  <c r="CQ200" i="1" s="1"/>
  <c r="CQ43" i="1" a="1"/>
  <c r="CQ43" i="1" s="1"/>
  <c r="CQ83" i="1" a="1"/>
  <c r="CQ83" i="1" s="1"/>
  <c r="CR131" i="1" a="1"/>
  <c r="CR131" i="1" s="1"/>
  <c r="CR194" i="1" a="1"/>
  <c r="CR194" i="1" s="1"/>
  <c r="CQ242" i="1" a="1"/>
  <c r="CQ242" i="1" s="1"/>
  <c r="CQ81" i="1" a="1"/>
  <c r="CQ81" i="1" s="1"/>
  <c r="CR36" i="1" a="1"/>
  <c r="CR36" i="1" s="1"/>
  <c r="CQ68" i="1" a="1"/>
  <c r="CQ68" i="1" s="1"/>
  <c r="CR65" i="1" a="1"/>
  <c r="CR65" i="1" s="1"/>
  <c r="CQ195" i="1" a="1"/>
  <c r="CQ195" i="1" s="1"/>
  <c r="CQ211" i="1" a="1"/>
  <c r="CQ211" i="1" s="1"/>
  <c r="CR229" i="1" a="1"/>
  <c r="CR229" i="1" s="1"/>
  <c r="CR245" i="1" a="1"/>
  <c r="CR245" i="1" s="1"/>
  <c r="CR261" i="1" a="1"/>
  <c r="CR261" i="1" s="1"/>
  <c r="CQ168" i="1" a="1"/>
  <c r="CQ168" i="1" s="1"/>
  <c r="CQ162" i="1" a="1"/>
  <c r="CQ162" i="1" s="1"/>
  <c r="CR19" i="1" a="1"/>
  <c r="CR19" i="1" s="1"/>
  <c r="CQ271" i="1" a="1"/>
  <c r="CQ271" i="1" s="1"/>
  <c r="CQ186" i="1" a="1"/>
  <c r="CQ186" i="1" s="1"/>
  <c r="CR186" i="1" a="1"/>
  <c r="CR186" i="1" s="1"/>
  <c r="CR205" i="1" a="1"/>
  <c r="CR205" i="1" s="1"/>
  <c r="CQ237" i="1" a="1"/>
  <c r="CQ237" i="1" s="1"/>
  <c r="CR237" i="1" a="1"/>
  <c r="CR237" i="1" s="1"/>
  <c r="CQ14" i="1" a="1"/>
  <c r="CQ14" i="1" s="1"/>
  <c r="CQ54" i="1" a="1"/>
  <c r="CQ54" i="1" s="1"/>
  <c r="CQ203" i="1" a="1"/>
  <c r="CQ203" i="1" s="1"/>
  <c r="CR203" i="1" a="1"/>
  <c r="CR203" i="1" s="1"/>
  <c r="CQ106" i="1" a="1"/>
  <c r="CQ106" i="1" s="1"/>
  <c r="CR217" i="1" a="1"/>
  <c r="CR217" i="1" s="1"/>
  <c r="CR84" i="1" a="1"/>
  <c r="CR84" i="1" s="1"/>
  <c r="CR22" i="1" a="1"/>
  <c r="CR22" i="1" s="1"/>
  <c r="CR38" i="1" a="1"/>
  <c r="CR38" i="1" s="1"/>
  <c r="CR128" i="1" a="1"/>
  <c r="CR128" i="1" s="1"/>
  <c r="CQ202" i="1" a="1"/>
  <c r="CQ202" i="1" s="1"/>
  <c r="CR73" i="1" a="1"/>
  <c r="CR73" i="1" s="1"/>
  <c r="CQ170" i="1" a="1"/>
  <c r="CQ170" i="1" s="1"/>
  <c r="CR67" i="1" a="1"/>
  <c r="CR67" i="1" s="1"/>
  <c r="CR179" i="1" a="1"/>
  <c r="CR179" i="1" s="1"/>
  <c r="CQ204" i="1" a="1"/>
  <c r="CQ204" i="1" s="1"/>
  <c r="CR198" i="1" a="1"/>
  <c r="CR198" i="1" s="1"/>
  <c r="CR168" i="1" a="1"/>
  <c r="CR168" i="1" s="1"/>
  <c r="CQ79" i="1" a="1"/>
  <c r="CQ79" i="1" s="1"/>
  <c r="CQ34" i="1" a="1"/>
  <c r="CQ34" i="1" s="1"/>
  <c r="CQ82" i="1" a="1"/>
  <c r="CQ82" i="1" s="1"/>
  <c r="CQ89" i="1" a="1"/>
  <c r="CQ89" i="1" s="1"/>
  <c r="CR64" i="1" a="1"/>
  <c r="CR64" i="1" s="1"/>
  <c r="CR199" i="1" a="1"/>
  <c r="CR199" i="1" s="1"/>
  <c r="CQ91" i="1" a="1"/>
  <c r="CQ91" i="1" s="1"/>
  <c r="CR266" i="1" a="1"/>
  <c r="CR266" i="1" s="1"/>
  <c r="CQ48" i="1" a="1"/>
  <c r="CQ48" i="1" s="1"/>
  <c r="CR40" i="1" a="1"/>
  <c r="CR40" i="1" s="1"/>
  <c r="CR26" i="1" a="1"/>
  <c r="CR26" i="1" s="1"/>
  <c r="CR256" i="1" a="1"/>
  <c r="CR256" i="1" s="1"/>
  <c r="CR20" i="1" a="1"/>
  <c r="CR20" i="1" s="1"/>
  <c r="CQ20" i="1" a="1"/>
  <c r="CQ20" i="1" s="1"/>
  <c r="CR196" i="1" a="1"/>
  <c r="CR196" i="1" s="1"/>
  <c r="CQ196" i="1" a="1"/>
  <c r="CQ196" i="1" s="1"/>
  <c r="CQ178" i="1" a="1"/>
  <c r="CQ178" i="1" s="1"/>
  <c r="CR178" i="1" a="1"/>
  <c r="CR178" i="1" s="1"/>
  <c r="CR192" i="1" a="1"/>
  <c r="CR192" i="1" s="1"/>
  <c r="CQ192" i="1" a="1"/>
  <c r="CQ192" i="1" s="1"/>
  <c r="CQ78" i="1" a="1"/>
  <c r="CQ78" i="1" s="1"/>
  <c r="CQ142" i="1" a="1"/>
  <c r="CQ142" i="1" s="1"/>
  <c r="CR142" i="1" a="1"/>
  <c r="CR142" i="1" s="1"/>
  <c r="CQ268" i="1" a="1"/>
  <c r="CQ268" i="1" s="1"/>
  <c r="CR268" i="1" a="1"/>
  <c r="CR268" i="1" s="1"/>
  <c r="CQ51" i="1" a="1"/>
  <c r="CQ51" i="1" s="1"/>
  <c r="CR11" i="1" a="1"/>
  <c r="CR11" i="1" s="1"/>
  <c r="CR181" i="1" a="1"/>
  <c r="CR181" i="1" s="1"/>
  <c r="CQ53" i="1" a="1"/>
  <c r="CQ53" i="1" s="1"/>
  <c r="CR53" i="1" a="1"/>
  <c r="CR53" i="1" s="1"/>
  <c r="CQ71" i="1" a="1"/>
  <c r="CQ71" i="1" s="1"/>
  <c r="CR123" i="1" a="1"/>
  <c r="CR123" i="1" s="1"/>
  <c r="CQ123" i="1" a="1"/>
  <c r="CQ123" i="1" s="1"/>
  <c r="CR182" i="1" a="1"/>
  <c r="CR182" i="1" s="1"/>
  <c r="CR255" i="1" a="1"/>
  <c r="CR255" i="1" s="1"/>
  <c r="CR46" i="1" a="1"/>
  <c r="CR46" i="1" s="1"/>
  <c r="CQ62" i="1" a="1"/>
  <c r="CQ62" i="1" s="1"/>
  <c r="CQ173" i="1" a="1"/>
  <c r="CQ173" i="1" s="1"/>
  <c r="CQ189" i="1" a="1"/>
  <c r="CQ189" i="1" s="1"/>
  <c r="CR249" i="1" a="1"/>
  <c r="CR249" i="1" s="1"/>
  <c r="CQ32" i="1" a="1"/>
  <c r="CQ32" i="1" s="1"/>
  <c r="CR32" i="1" a="1"/>
  <c r="CR32" i="1" s="1"/>
  <c r="CR152" i="1" a="1"/>
  <c r="CR152" i="1" s="1"/>
  <c r="CR69" i="1" a="1"/>
  <c r="CR69" i="1" s="1"/>
  <c r="CQ69" i="1" a="1"/>
  <c r="CQ69" i="1" s="1"/>
  <c r="CQ155" i="1" a="1"/>
  <c r="CQ155" i="1" s="1"/>
  <c r="CR155" i="1" a="1"/>
  <c r="CR155" i="1" s="1"/>
  <c r="CQ139" i="1" a="1"/>
  <c r="CQ139" i="1" s="1"/>
  <c r="CQ17" i="1" a="1"/>
  <c r="CQ17" i="1" s="1"/>
  <c r="CR97" i="1" a="1"/>
  <c r="CR97" i="1" s="1"/>
  <c r="CQ97" i="1" a="1"/>
  <c r="CQ97" i="1" s="1"/>
  <c r="CQ176" i="1" a="1"/>
  <c r="CQ176" i="1" s="1"/>
  <c r="CR176" i="1" a="1"/>
  <c r="CR176" i="1" s="1"/>
  <c r="CQ118" i="1" a="1"/>
  <c r="CQ118" i="1" s="1"/>
  <c r="CQ245" i="1" a="1"/>
  <c r="CQ245" i="1" s="1"/>
  <c r="CR136" i="1" a="1"/>
  <c r="CR136" i="1" s="1"/>
  <c r="CR263" i="1" a="1"/>
  <c r="CR263" i="1" s="1"/>
  <c r="CQ75" i="1" a="1"/>
  <c r="CQ75" i="1" s="1"/>
  <c r="CQ41" i="1" a="1"/>
  <c r="CQ41" i="1" s="1"/>
  <c r="CR47" i="1" a="1"/>
  <c r="CR47" i="1" s="1"/>
  <c r="CR146" i="1" a="1"/>
  <c r="CR146" i="1" s="1"/>
  <c r="CR241" i="1" a="1"/>
  <c r="CR241" i="1" s="1"/>
  <c r="CQ12" i="1" a="1"/>
  <c r="CQ12" i="1" s="1"/>
  <c r="CR12" i="1" a="1"/>
  <c r="CR12" i="1" s="1"/>
  <c r="CQ116" i="1" a="1"/>
  <c r="CQ116" i="1" s="1"/>
  <c r="CR116" i="1" a="1"/>
  <c r="CR116" i="1" s="1"/>
  <c r="CQ235" i="1" a="1"/>
  <c r="CQ235" i="1" s="1"/>
  <c r="CR235" i="1" a="1"/>
  <c r="CR235" i="1" s="1"/>
  <c r="CR45" i="1" a="1"/>
  <c r="CR45" i="1" s="1"/>
  <c r="CQ45" i="1" a="1"/>
  <c r="CQ45" i="1" s="1"/>
  <c r="CQ103" i="1" a="1"/>
  <c r="CQ103" i="1" s="1"/>
  <c r="CR103" i="1" a="1"/>
  <c r="CR103" i="1" s="1"/>
  <c r="CR238" i="1" a="1"/>
  <c r="CR238" i="1" s="1"/>
  <c r="CQ238" i="1" a="1"/>
  <c r="CQ238" i="1" s="1"/>
  <c r="CR191" i="1" a="1"/>
  <c r="CR191" i="1" s="1"/>
  <c r="CQ191" i="1" a="1"/>
  <c r="CQ191" i="1" s="1"/>
  <c r="CR95" i="1" a="1"/>
  <c r="CR95" i="1" s="1"/>
  <c r="CR135" i="1" a="1"/>
  <c r="CR135" i="1" s="1"/>
  <c r="CR234" i="1" a="1"/>
  <c r="CR234" i="1" s="1"/>
  <c r="CQ163" i="1" a="1"/>
  <c r="CQ163" i="1" s="1"/>
  <c r="CR138" i="1" a="1"/>
  <c r="CR138" i="1" s="1"/>
  <c r="CQ169" i="1" a="1"/>
  <c r="CQ169" i="1" s="1"/>
  <c r="CR169" i="1" a="1"/>
  <c r="CR169" i="1" s="1"/>
  <c r="CR201" i="1" a="1"/>
  <c r="CR201" i="1" s="1"/>
  <c r="CQ201" i="1" a="1"/>
  <c r="CQ201" i="1" s="1"/>
  <c r="CR264" i="1" a="1"/>
  <c r="CR264" i="1" s="1"/>
  <c r="CR37" i="1" a="1"/>
  <c r="CR37" i="1" s="1"/>
  <c r="CQ37" i="1" a="1"/>
  <c r="CQ37" i="1" s="1"/>
  <c r="CQ206" i="1" a="1"/>
  <c r="CQ206" i="1" s="1"/>
  <c r="CR109" i="1" a="1"/>
  <c r="CR109" i="1" s="1"/>
  <c r="CQ109" i="1" a="1"/>
  <c r="CQ109" i="1" s="1"/>
  <c r="CQ60" i="1" a="1"/>
  <c r="CQ60" i="1" s="1"/>
  <c r="CR60" i="1" a="1"/>
  <c r="CR60" i="1" s="1"/>
  <c r="CR195" i="1" a="1"/>
  <c r="CR195" i="1" s="1"/>
  <c r="CQ66" i="1" a="1"/>
  <c r="CQ66" i="1" s="1"/>
  <c r="CQ102" i="1" a="1"/>
  <c r="CQ102" i="1" s="1"/>
  <c r="CQ179" i="1" a="1"/>
  <c r="CQ179" i="1" s="1"/>
  <c r="CR148" i="1" a="1"/>
  <c r="CR148" i="1" s="1"/>
  <c r="CQ148" i="1" a="1"/>
  <c r="CQ148" i="1" s="1"/>
  <c r="CR260" i="1" a="1"/>
  <c r="CR260" i="1" s="1"/>
  <c r="CQ260" i="1" a="1"/>
  <c r="CQ260" i="1" s="1"/>
  <c r="CQ110" i="1" a="1"/>
  <c r="CQ110" i="1" s="1"/>
  <c r="CR110" i="1" a="1"/>
  <c r="CR110" i="1" s="1"/>
  <c r="CR124" i="1" a="1"/>
  <c r="CR124" i="1" s="1"/>
  <c r="CQ8" i="1" a="1"/>
  <c r="CQ8" i="1" s="1"/>
  <c r="CR188" i="1" a="1"/>
  <c r="CR188" i="1" s="1"/>
  <c r="CQ188" i="1" a="1"/>
  <c r="CQ188" i="1" s="1"/>
  <c r="CR163" i="1" a="1"/>
  <c r="CR163" i="1" s="1"/>
  <c r="CQ248" i="1" a="1"/>
  <c r="CQ248" i="1" s="1"/>
  <c r="CR248" i="1" a="1"/>
  <c r="CR248" i="1" s="1"/>
  <c r="CR208" i="1" a="1"/>
  <c r="CR208" i="1" s="1"/>
  <c r="CR158" i="1" a="1"/>
  <c r="CR158" i="1" s="1"/>
  <c r="CQ134" i="1" a="1"/>
  <c r="CQ134" i="1" s="1"/>
  <c r="CQ52" i="1" a="1"/>
  <c r="CQ52" i="1" s="1"/>
  <c r="CQ220" i="1" a="1"/>
  <c r="CQ220" i="1" s="1"/>
  <c r="CQ224" i="1" a="1"/>
  <c r="CQ224" i="1" s="1"/>
  <c r="CR224" i="1" a="1"/>
  <c r="CR224" i="1" s="1"/>
  <c r="CR28" i="1" a="1"/>
  <c r="CR28" i="1" s="1"/>
  <c r="CQ28" i="1" a="1"/>
  <c r="CQ28" i="1" s="1"/>
  <c r="CR164" i="1" a="1"/>
  <c r="CR164" i="1" s="1"/>
  <c r="CQ164" i="1" a="1"/>
  <c r="CQ164" i="1" s="1"/>
  <c r="CQ232" i="1" a="1"/>
  <c r="CQ232" i="1" s="1"/>
  <c r="CR232" i="1" a="1"/>
  <c r="CR232" i="1" s="1"/>
  <c r="CR111" i="1" a="1"/>
  <c r="CR111" i="1" s="1"/>
  <c r="CQ111" i="1" a="1"/>
  <c r="CQ111" i="1" s="1"/>
  <c r="CQ154" i="1" a="1"/>
  <c r="CQ154" i="1" s="1"/>
  <c r="CR154" i="1" a="1"/>
  <c r="CR154" i="1" s="1"/>
  <c r="CQ33" i="1" a="1"/>
  <c r="CQ33" i="1" s="1"/>
  <c r="CR228" i="1" a="1"/>
  <c r="CR228" i="1" s="1"/>
  <c r="CQ228" i="1" a="1"/>
  <c r="CQ228" i="1" s="1"/>
  <c r="CR27" i="1" a="1"/>
  <c r="CR27" i="1" s="1"/>
  <c r="CQ27" i="1" a="1"/>
  <c r="CQ27" i="1" s="1"/>
  <c r="CQ59" i="1" a="1"/>
  <c r="CQ59" i="1" s="1"/>
  <c r="CQ143" i="1" a="1"/>
  <c r="CQ143" i="1" s="1"/>
  <c r="CR143" i="1" a="1"/>
  <c r="CR143" i="1" s="1"/>
  <c r="CR254" i="1" a="1"/>
  <c r="CR254" i="1" s="1"/>
  <c r="CQ254" i="1" a="1"/>
  <c r="CQ254" i="1" s="1"/>
  <c r="CR30" i="1" a="1"/>
  <c r="CR30" i="1" s="1"/>
  <c r="CQ94" i="1" a="1"/>
  <c r="CQ94" i="1" s="1"/>
  <c r="CR94" i="1" a="1"/>
  <c r="CR94" i="1" s="1"/>
  <c r="CQ126" i="1" a="1"/>
  <c r="CQ126" i="1" s="1"/>
  <c r="CR126" i="1" a="1"/>
  <c r="CR126" i="1" s="1"/>
  <c r="CQ157" i="1" a="1"/>
  <c r="CQ157" i="1" s="1"/>
  <c r="CQ221" i="1" a="1"/>
  <c r="CQ221" i="1" s="1"/>
  <c r="CR221" i="1" a="1"/>
  <c r="CR221" i="1" s="1"/>
  <c r="CR253" i="1" a="1"/>
  <c r="CR253" i="1" s="1"/>
  <c r="CQ253" i="1" a="1"/>
  <c r="CQ253" i="1" s="1"/>
  <c r="CQ24" i="1" a="1"/>
  <c r="CQ24" i="1" s="1"/>
  <c r="CR180" i="1" a="1"/>
  <c r="CR180" i="1" s="1"/>
  <c r="CQ180" i="1" a="1"/>
  <c r="CQ180" i="1" s="1"/>
  <c r="CR31" i="1" a="1"/>
  <c r="CR31" i="1" s="1"/>
  <c r="CR230" i="1" a="1"/>
  <c r="CR230" i="1" s="1"/>
  <c r="CQ230" i="1" a="1"/>
  <c r="CQ230" i="1" s="1"/>
  <c r="CQ216" i="1" a="1"/>
  <c r="CQ216" i="1" s="1"/>
  <c r="CR216" i="1" a="1"/>
  <c r="CR216" i="1" s="1"/>
  <c r="CQ87" i="1" a="1"/>
  <c r="CQ87" i="1" s="1"/>
  <c r="CR87" i="1" a="1"/>
  <c r="CR87" i="1" s="1"/>
  <c r="CQ229" i="1" a="1"/>
  <c r="CQ229" i="1" s="1"/>
  <c r="CR113" i="1" a="1"/>
  <c r="CR113" i="1" s="1"/>
  <c r="CQ36" i="1" a="1"/>
  <c r="CQ36" i="1" s="1"/>
  <c r="CR23" i="1" a="1"/>
  <c r="CR23" i="1" s="1"/>
  <c r="CR55" i="1" a="1"/>
  <c r="CR55" i="1" s="1"/>
  <c r="CQ131" i="1" a="1"/>
  <c r="CQ131" i="1" s="1"/>
  <c r="CQ19" i="1" a="1"/>
  <c r="CQ19" i="1" s="1"/>
  <c r="CQ129" i="1" a="1"/>
  <c r="CQ129" i="1" s="1"/>
  <c r="CQ151" i="1" a="1"/>
  <c r="CQ151" i="1" s="1"/>
  <c r="CQ130" i="1" a="1"/>
  <c r="CQ130" i="1" s="1"/>
  <c r="CR177" i="1" a="1"/>
  <c r="CR177" i="1" s="1"/>
  <c r="CQ257" i="1" a="1"/>
  <c r="CQ257" i="1" s="1"/>
  <c r="CR100" i="1" a="1"/>
  <c r="CR100" i="1" s="1"/>
  <c r="CQ100" i="1" a="1"/>
  <c r="CQ100" i="1" s="1"/>
  <c r="CQ153" i="1" a="1"/>
  <c r="CQ153" i="1" s="1"/>
  <c r="CR153" i="1" a="1"/>
  <c r="CR153" i="1" s="1"/>
  <c r="CR207" i="1" a="1"/>
  <c r="CR207" i="1" s="1"/>
  <c r="CQ207" i="1" a="1"/>
  <c r="CQ207" i="1" s="1"/>
  <c r="CQ243" i="1" a="1"/>
  <c r="CQ243" i="1" s="1"/>
  <c r="CR243" i="1" a="1"/>
  <c r="CR243" i="1" s="1"/>
  <c r="CR57" i="1" a="1"/>
  <c r="CR57" i="1" s="1"/>
  <c r="CQ57" i="1" a="1"/>
  <c r="CQ57" i="1" s="1"/>
  <c r="CR244" i="1" a="1"/>
  <c r="CR244" i="1" s="1"/>
  <c r="CQ244" i="1" a="1"/>
  <c r="CQ244" i="1" s="1"/>
  <c r="CR147" i="1" a="1"/>
  <c r="CR147" i="1" s="1"/>
  <c r="CQ214" i="1" a="1"/>
  <c r="CQ214" i="1" s="1"/>
  <c r="CR214" i="1" a="1"/>
  <c r="CR214" i="1" s="1"/>
  <c r="CQ141" i="1" a="1"/>
  <c r="CQ141" i="1" s="1"/>
  <c r="CR141" i="1" a="1"/>
  <c r="CR141" i="1" s="1"/>
  <c r="CQ252" i="1" a="1"/>
  <c r="CQ252" i="1" s="1"/>
  <c r="CR63" i="1" a="1"/>
  <c r="CR63" i="1" s="1"/>
  <c r="CQ10" i="1" a="1"/>
  <c r="CQ10" i="1" s="1"/>
  <c r="CQ42" i="1" a="1"/>
  <c r="CQ42" i="1" s="1"/>
  <c r="CR42" i="1" a="1"/>
  <c r="CR42" i="1" s="1"/>
  <c r="CQ74" i="1" a="1"/>
  <c r="CQ74" i="1" s="1"/>
  <c r="CR74" i="1" a="1"/>
  <c r="CR74" i="1" s="1"/>
  <c r="CR122" i="1" a="1"/>
  <c r="CR122" i="1" s="1"/>
  <c r="CR233" i="1" a="1"/>
  <c r="CR233" i="1" s="1"/>
  <c r="CQ159" i="1" a="1"/>
  <c r="CQ159" i="1" s="1"/>
  <c r="CR159" i="1" a="1"/>
  <c r="CR159" i="1" s="1"/>
  <c r="CQ125" i="1" a="1"/>
  <c r="CQ125" i="1" s="1"/>
  <c r="CR125" i="1" a="1"/>
  <c r="CR125" i="1" s="1"/>
  <c r="CQ184" i="1" a="1"/>
  <c r="CQ184" i="1" s="1"/>
  <c r="CR44" i="1" a="1"/>
  <c r="CR44" i="1" s="1"/>
  <c r="CQ44" i="1" a="1"/>
  <c r="CQ44" i="1" s="1"/>
  <c r="CQ112" i="1" a="1"/>
  <c r="CQ112" i="1" s="1"/>
  <c r="CQ65" i="1" a="1"/>
  <c r="CQ65" i="1" s="1"/>
  <c r="CR247" i="1" a="1"/>
  <c r="CR247" i="1" s="1"/>
  <c r="CQ269" i="1" a="1"/>
  <c r="CQ269" i="1" s="1"/>
  <c r="CR160" i="1" a="1"/>
  <c r="CR160" i="1" s="1"/>
  <c r="CR119" i="1" a="1"/>
  <c r="CR119" i="1" s="1"/>
  <c r="CR200" i="1" a="1"/>
  <c r="CR200" i="1" s="1"/>
  <c r="CR262" i="1" a="1"/>
  <c r="CR262" i="1" s="1"/>
  <c r="CQ193" i="1" a="1"/>
  <c r="CQ193" i="1" s="1"/>
  <c r="CR213" i="1" a="1"/>
  <c r="CR213" i="1" s="1"/>
  <c r="CQ213" i="1" a="1"/>
  <c r="CQ213" i="1" s="1"/>
  <c r="CR104" i="1" a="1"/>
  <c r="CR104" i="1" s="1"/>
  <c r="CR144" i="1" a="1"/>
  <c r="CR144" i="1" s="1"/>
  <c r="CR231" i="1" a="1"/>
  <c r="CR231" i="1" s="1"/>
  <c r="CR29" i="1" a="1"/>
  <c r="CR29" i="1" s="1"/>
  <c r="CQ174" i="1" a="1"/>
  <c r="CQ174" i="1" s="1"/>
  <c r="CQ101" i="1" a="1"/>
  <c r="CQ101" i="1" s="1"/>
  <c r="CQ209" i="1" a="1"/>
  <c r="CQ209" i="1" s="1"/>
  <c r="CQ190" i="1" a="1"/>
  <c r="CQ190" i="1" s="1"/>
  <c r="CQ18" i="1" a="1"/>
  <c r="CQ18" i="1" s="1"/>
  <c r="CR50" i="1" a="1"/>
  <c r="CR50" i="1" s="1"/>
  <c r="CQ98" i="1" a="1"/>
  <c r="CQ98" i="1" s="1"/>
  <c r="CR161" i="1" a="1"/>
  <c r="CR161" i="1" s="1"/>
  <c r="CQ225" i="1" a="1"/>
  <c r="CQ225" i="1" s="1"/>
  <c r="CQ13" i="1" a="1"/>
  <c r="CQ13" i="1" s="1"/>
  <c r="CQ140" i="1" a="1"/>
  <c r="CQ140" i="1" s="1"/>
  <c r="CQ167" i="1" a="1"/>
  <c r="CQ167" i="1" s="1"/>
  <c r="CQ259" i="1" a="1"/>
  <c r="CQ259" i="1" s="1"/>
  <c r="CQ56" i="1" a="1"/>
  <c r="CQ56" i="1" s="1"/>
  <c r="CR85" i="1" a="1"/>
  <c r="CR85" i="1" s="1"/>
  <c r="CR35" i="1" a="1"/>
  <c r="CR35" i="1" s="1"/>
  <c r="CR183" i="1" a="1"/>
  <c r="CR183" i="1" s="1"/>
  <c r="CQ267" i="1" a="1"/>
  <c r="CQ267" i="1" s="1"/>
  <c r="CR72" i="1" a="1"/>
  <c r="CR72" i="1" s="1"/>
  <c r="CR251" i="1" a="1"/>
  <c r="CR251" i="1" s="1"/>
  <c r="CQ236" i="1" a="1"/>
  <c r="CQ236" i="1" s="1"/>
  <c r="CQ80" i="1" a="1"/>
  <c r="CQ80" i="1" s="1"/>
  <c r="CQ21" i="1" a="1"/>
  <c r="CQ21" i="1" s="1"/>
  <c r="CR21" i="1" a="1"/>
  <c r="CR21" i="1" s="1"/>
  <c r="CR137" i="1" a="1"/>
  <c r="CR137" i="1" s="1"/>
  <c r="CQ137" i="1" a="1"/>
  <c r="CQ137" i="1" s="1"/>
  <c r="CQ76" i="1" a="1"/>
  <c r="CQ76" i="1" s="1"/>
  <c r="CR76" i="1" a="1"/>
  <c r="CR76" i="1" s="1"/>
  <c r="CR41" i="1" a="1"/>
  <c r="CR41" i="1" s="1"/>
  <c r="CQ7" i="1" a="1"/>
  <c r="CQ7" i="1" s="1"/>
  <c r="CQ226" i="1" a="1"/>
  <c r="CQ226" i="1" s="1"/>
  <c r="CR58" i="1" a="1"/>
  <c r="CR58" i="1" s="1"/>
  <c r="CQ58" i="1" a="1"/>
  <c r="CQ58" i="1" s="1"/>
  <c r="CR77" i="1" a="1"/>
  <c r="CR77" i="1" s="1"/>
  <c r="CR16" i="1" a="1"/>
  <c r="CR16" i="1" s="1"/>
  <c r="CR88" i="1" a="1"/>
  <c r="CR88" i="1" s="1"/>
  <c r="CQ88" i="1" a="1"/>
  <c r="CQ88" i="1" s="1"/>
  <c r="CQ215" i="1" a="1"/>
  <c r="CQ215" i="1" s="1"/>
  <c r="CR215" i="1" a="1"/>
  <c r="CR215" i="1" s="1"/>
  <c r="CR9" i="1" a="1"/>
  <c r="CR9" i="1" s="1"/>
  <c r="CQ9" i="1" a="1"/>
  <c r="CQ9" i="1" s="1"/>
  <c r="CR92" i="1" a="1"/>
  <c r="CR92" i="1" s="1"/>
  <c r="CQ92" i="1" a="1"/>
  <c r="CQ92" i="1" s="1"/>
  <c r="CQ270" i="1" a="1"/>
  <c r="CQ270" i="1" s="1"/>
  <c r="CR270" i="1" a="1"/>
  <c r="CR270" i="1" s="1"/>
  <c r="CR212" i="1" a="1"/>
  <c r="CR212" i="1" s="1"/>
  <c r="CQ212" i="1" a="1"/>
  <c r="CQ212" i="1" s="1"/>
  <c r="CQ96" i="1" a="1"/>
  <c r="CQ96" i="1" s="1"/>
  <c r="CR96" i="1" a="1"/>
  <c r="CR96" i="1" s="1"/>
  <c r="CR223" i="1" a="1"/>
  <c r="CR223" i="1" s="1"/>
  <c r="CQ223" i="1" a="1"/>
  <c r="CQ223" i="1" s="1"/>
  <c r="CQ93" i="1" a="1"/>
  <c r="CQ93" i="1" s="1"/>
  <c r="CR93" i="1" a="1"/>
  <c r="CR93" i="1" s="1"/>
  <c r="CQ15" i="1" a="1"/>
  <c r="CQ15" i="1" s="1"/>
  <c r="CR15" i="1" a="1"/>
  <c r="CR15" i="1" s="1"/>
  <c r="CR121" i="1" a="1"/>
  <c r="CR121" i="1" s="1"/>
  <c r="CQ121" i="1" a="1"/>
  <c r="CQ121" i="1" s="1"/>
  <c r="CR166" i="1" a="1"/>
  <c r="CR166" i="1" s="1"/>
  <c r="CQ166" i="1" a="1"/>
  <c r="CQ166" i="1" s="1"/>
  <c r="CQ246" i="1" a="1"/>
  <c r="CQ246" i="1" s="1"/>
  <c r="CR246" i="1" a="1"/>
  <c r="CR246" i="1" s="1"/>
  <c r="CR149" i="1" a="1"/>
  <c r="CR149" i="1" s="1"/>
  <c r="CQ149" i="1" a="1"/>
  <c r="CQ149" i="1" s="1"/>
  <c r="CQ240" i="1" a="1"/>
  <c r="CQ240" i="1" s="1"/>
  <c r="CR240" i="1" a="1"/>
  <c r="CR240" i="1" s="1"/>
  <c r="CR222" i="1" a="1"/>
  <c r="CR222" i="1" s="1"/>
  <c r="CQ222" i="1" a="1"/>
  <c r="CQ222" i="1" s="1"/>
  <c r="CQ265" i="1" a="1"/>
  <c r="CQ265" i="1" s="1"/>
  <c r="CR265" i="1" a="1"/>
  <c r="CR265" i="1" s="1"/>
  <c r="CQ30" i="1" a="1"/>
  <c r="CQ30" i="1" s="1"/>
  <c r="CR157" i="1" a="1"/>
  <c r="CR157" i="1" s="1"/>
  <c r="CR49" i="1" a="1"/>
  <c r="CR49" i="1" s="1"/>
  <c r="CQ105" i="1" a="1"/>
  <c r="CQ105" i="1" s="1"/>
  <c r="CR105" i="1" a="1"/>
  <c r="CR105" i="1" s="1"/>
  <c r="CQ31" i="1" a="1"/>
  <c r="CQ31" i="1" s="1"/>
  <c r="CQ86" i="1" a="1"/>
  <c r="CQ86" i="1" s="1"/>
  <c r="CR86" i="1" a="1"/>
  <c r="CR86" i="1" s="1"/>
  <c r="CR187" i="1" a="1"/>
  <c r="CR187" i="1" s="1"/>
  <c r="CQ187" i="1" a="1"/>
  <c r="CQ187" i="1" s="1"/>
  <c r="CQ117" i="1" a="1"/>
  <c r="CQ117" i="1" s="1"/>
  <c r="CR117" i="1" a="1"/>
  <c r="CR117" i="1" s="1"/>
  <c r="CR108" i="1" a="1"/>
  <c r="CR108" i="1" s="1"/>
  <c r="CQ108" i="1" a="1"/>
  <c r="CQ108" i="1" s="1"/>
  <c r="CR132" i="1" a="1"/>
  <c r="CR132" i="1" s="1"/>
  <c r="CQ132" i="1" a="1"/>
  <c r="CQ132" i="1" s="1"/>
  <c r="CR227" i="1" a="1"/>
  <c r="CR227" i="1" s="1"/>
  <c r="CQ227" i="1" a="1"/>
  <c r="CQ227" i="1" s="1"/>
  <c r="CQ133" i="1" a="1"/>
  <c r="CQ133" i="1" s="1"/>
  <c r="CR133" i="1" a="1"/>
  <c r="CR133" i="1" s="1"/>
  <c r="CQ120" i="1" a="1"/>
  <c r="CQ120" i="1" s="1"/>
  <c r="CR120" i="1" a="1"/>
  <c r="CR120" i="1" s="1"/>
  <c r="CQ115" i="1" a="1"/>
  <c r="CQ115" i="1" s="1"/>
  <c r="CR115" i="1" a="1"/>
  <c r="CR115" i="1" s="1"/>
  <c r="CQ185" i="1" a="1"/>
  <c r="CQ185" i="1" s="1"/>
  <c r="CR185" i="1" a="1"/>
  <c r="CR185" i="1" s="1"/>
  <c r="CQ219" i="1" a="1"/>
  <c r="CQ219" i="1" s="1"/>
  <c r="CR219" i="1" a="1"/>
  <c r="CR219" i="1" s="1"/>
  <c r="CR145" i="1" a="1"/>
  <c r="CR145" i="1" s="1"/>
  <c r="CQ145" i="1" a="1"/>
  <c r="CQ145" i="1" s="1"/>
  <c r="CQ218" i="1" a="1"/>
  <c r="CQ218" i="1" s="1"/>
  <c r="CR218" i="1" a="1"/>
  <c r="CR218" i="1" s="1"/>
  <c r="CQ61" i="1" a="1"/>
  <c r="CQ61" i="1" s="1"/>
  <c r="CR61" i="1" a="1"/>
  <c r="CR61" i="1" s="1"/>
  <c r="CR112" i="1" a="1"/>
  <c r="CR112" i="1" s="1"/>
  <c r="CS258" i="1" l="1"/>
  <c r="DG258" i="1" s="1"/>
  <c r="CS113" i="1"/>
  <c r="CY113" i="1" s="1"/>
  <c r="C37" i="3"/>
  <c r="F36" i="3"/>
  <c r="E44" i="3"/>
  <c r="CS216" i="1"/>
  <c r="CS13" i="1"/>
  <c r="CT13" i="1" s="1"/>
  <c r="CS101" i="1"/>
  <c r="CS127" i="1"/>
  <c r="CT127" i="1" s="1"/>
  <c r="CS210" i="1"/>
  <c r="CX210" i="1" s="1"/>
  <c r="CS95" i="1"/>
  <c r="CX95" i="1" s="1"/>
  <c r="CS124" i="1"/>
  <c r="CT124" i="1" s="1"/>
  <c r="CS209" i="1"/>
  <c r="CT209" i="1" s="1"/>
  <c r="CS79" i="1"/>
  <c r="DB79" i="1" s="1"/>
  <c r="CS250" i="1"/>
  <c r="CX250" i="1" s="1"/>
  <c r="CS112" i="1"/>
  <c r="DB112" i="1" s="1"/>
  <c r="CS267" i="1"/>
  <c r="CV267" i="1" s="1"/>
  <c r="CS242" i="1"/>
  <c r="CS252" i="1"/>
  <c r="CW252" i="1" s="1"/>
  <c r="CS158" i="1"/>
  <c r="CS40" i="1"/>
  <c r="CS34" i="1"/>
  <c r="CS194" i="1"/>
  <c r="CS25" i="1"/>
  <c r="CS160" i="1"/>
  <c r="CS10" i="1"/>
  <c r="CS66" i="1"/>
  <c r="CU66" i="1" s="1"/>
  <c r="CS75" i="1"/>
  <c r="CS182" i="1"/>
  <c r="CS48" i="1"/>
  <c r="CS140" i="1"/>
  <c r="CW140" i="1" s="1"/>
  <c r="CS129" i="1"/>
  <c r="CS206" i="1"/>
  <c r="CS139" i="1"/>
  <c r="CS175" i="1"/>
  <c r="CU175" i="1" s="1"/>
  <c r="CS161" i="1"/>
  <c r="CS104" i="1"/>
  <c r="CS63" i="1"/>
  <c r="CS52" i="1"/>
  <c r="CS197" i="1"/>
  <c r="CS138" i="1"/>
  <c r="CS135" i="1"/>
  <c r="CS172" i="1"/>
  <c r="CS171" i="1"/>
  <c r="CS226" i="1"/>
  <c r="CS183" i="1"/>
  <c r="CS190" i="1"/>
  <c r="CS249" i="1"/>
  <c r="CS173" i="1"/>
  <c r="CS255" i="1"/>
  <c r="CS202" i="1"/>
  <c r="CS162" i="1"/>
  <c r="CS150" i="1"/>
  <c r="CS165" i="1"/>
  <c r="CS251" i="1"/>
  <c r="CS231" i="1"/>
  <c r="CS204" i="1"/>
  <c r="CS211" i="1"/>
  <c r="CS49" i="1"/>
  <c r="CS77" i="1"/>
  <c r="CS72" i="1"/>
  <c r="CS269" i="1"/>
  <c r="CS177" i="1"/>
  <c r="CS55" i="1"/>
  <c r="CS81" i="1"/>
  <c r="CS107" i="1"/>
  <c r="CS156" i="1"/>
  <c r="CS236" i="1"/>
  <c r="CS225" i="1"/>
  <c r="CS29" i="1"/>
  <c r="CS151" i="1"/>
  <c r="CS264" i="1"/>
  <c r="CS263" i="1"/>
  <c r="CS71" i="1"/>
  <c r="CS181" i="1"/>
  <c r="CS26" i="1"/>
  <c r="CS14" i="1"/>
  <c r="CS7" i="1"/>
  <c r="CS35" i="1"/>
  <c r="CS257" i="1"/>
  <c r="CS195" i="1"/>
  <c r="CS199" i="1"/>
  <c r="CS198" i="1"/>
  <c r="CS85" i="1"/>
  <c r="CS98" i="1"/>
  <c r="CS144" i="1"/>
  <c r="CS234" i="1"/>
  <c r="CS64" i="1"/>
  <c r="CS170" i="1"/>
  <c r="CS68" i="1"/>
  <c r="CS56" i="1"/>
  <c r="CS174" i="1"/>
  <c r="CS262" i="1"/>
  <c r="CS247" i="1"/>
  <c r="CS130" i="1"/>
  <c r="CS228" i="1"/>
  <c r="CS8" i="1"/>
  <c r="CS47" i="1"/>
  <c r="CS266" i="1"/>
  <c r="CS84" i="1"/>
  <c r="CS54" i="1"/>
  <c r="CS261" i="1"/>
  <c r="CS51" i="1"/>
  <c r="CS83" i="1"/>
  <c r="CS100" i="1"/>
  <c r="CS221" i="1"/>
  <c r="CS254" i="1"/>
  <c r="CS232" i="1"/>
  <c r="CS200" i="1"/>
  <c r="CS184" i="1"/>
  <c r="CS89" i="1"/>
  <c r="CS38" i="1"/>
  <c r="CS167" i="1"/>
  <c r="CS24" i="1"/>
  <c r="CS220" i="1"/>
  <c r="CS118" i="1"/>
  <c r="CS57" i="1"/>
  <c r="CS16" i="1"/>
  <c r="CS193" i="1"/>
  <c r="CS11" i="1"/>
  <c r="CS22" i="1"/>
  <c r="CS239" i="1"/>
  <c r="CS39" i="1"/>
  <c r="CS132" i="1"/>
  <c r="CS207" i="1"/>
  <c r="CS215" i="1"/>
  <c r="CS80" i="1"/>
  <c r="CS42" i="1"/>
  <c r="CS23" i="1"/>
  <c r="CS229" i="1"/>
  <c r="CS94" i="1"/>
  <c r="CS134" i="1"/>
  <c r="CS241" i="1"/>
  <c r="CS17" i="1"/>
  <c r="CS67" i="1"/>
  <c r="CS128" i="1"/>
  <c r="CS99" i="1"/>
  <c r="CS187" i="1"/>
  <c r="CS222" i="1"/>
  <c r="CS119" i="1"/>
  <c r="CS122" i="1"/>
  <c r="CS19" i="1"/>
  <c r="CS110" i="1"/>
  <c r="CS245" i="1"/>
  <c r="CS46" i="1"/>
  <c r="CS205" i="1"/>
  <c r="CS271" i="1"/>
  <c r="CS114" i="1"/>
  <c r="CS152" i="1"/>
  <c r="CS78" i="1"/>
  <c r="CS227" i="1"/>
  <c r="CS65" i="1"/>
  <c r="CS59" i="1"/>
  <c r="CS146" i="1"/>
  <c r="CS97" i="1"/>
  <c r="CS62" i="1"/>
  <c r="CS91" i="1"/>
  <c r="CS70" i="1"/>
  <c r="CS90" i="1"/>
  <c r="CS61" i="1"/>
  <c r="CS145" i="1"/>
  <c r="CS185" i="1"/>
  <c r="CS133" i="1"/>
  <c r="CS265" i="1"/>
  <c r="CS240" i="1"/>
  <c r="CS121" i="1"/>
  <c r="CS212" i="1"/>
  <c r="CS9" i="1"/>
  <c r="CS88" i="1"/>
  <c r="CS125" i="1"/>
  <c r="CS233" i="1"/>
  <c r="CS214" i="1"/>
  <c r="CS147" i="1"/>
  <c r="CS244" i="1"/>
  <c r="CS243" i="1"/>
  <c r="CS131" i="1"/>
  <c r="CS230" i="1"/>
  <c r="CS253" i="1"/>
  <c r="CS143" i="1"/>
  <c r="CS27" i="1"/>
  <c r="CS28" i="1"/>
  <c r="CS148" i="1"/>
  <c r="CS37" i="1"/>
  <c r="CS191" i="1"/>
  <c r="CS238" i="1"/>
  <c r="CS45" i="1"/>
  <c r="CS176" i="1"/>
  <c r="CS32" i="1"/>
  <c r="CS189" i="1"/>
  <c r="CS123" i="1"/>
  <c r="CS142" i="1"/>
  <c r="CS196" i="1"/>
  <c r="CS256" i="1"/>
  <c r="CS115" i="1"/>
  <c r="CS120" i="1"/>
  <c r="CS157" i="1"/>
  <c r="CS93" i="1"/>
  <c r="CS50" i="1"/>
  <c r="CS36" i="1"/>
  <c r="CS33" i="1"/>
  <c r="CS208" i="1"/>
  <c r="CS163" i="1"/>
  <c r="CS60" i="1"/>
  <c r="CS235" i="1"/>
  <c r="CS136" i="1"/>
  <c r="CS82" i="1"/>
  <c r="CS73" i="1"/>
  <c r="CS217" i="1"/>
  <c r="CS186" i="1"/>
  <c r="CS259" i="1"/>
  <c r="CS18" i="1"/>
  <c r="CS102" i="1"/>
  <c r="CS53" i="1"/>
  <c r="CS168" i="1"/>
  <c r="CS106" i="1"/>
  <c r="CS43" i="1"/>
  <c r="CS108" i="1"/>
  <c r="CS117" i="1"/>
  <c r="CS15" i="1"/>
  <c r="CS58" i="1"/>
  <c r="CS44" i="1"/>
  <c r="CS153" i="1"/>
  <c r="CS31" i="1"/>
  <c r="CS111" i="1"/>
  <c r="CS164" i="1"/>
  <c r="CS188" i="1"/>
  <c r="CS201" i="1"/>
  <c r="CS86" i="1"/>
  <c r="CS105" i="1"/>
  <c r="CS149" i="1"/>
  <c r="CS246" i="1"/>
  <c r="CS166" i="1"/>
  <c r="CS223" i="1"/>
  <c r="CS96" i="1"/>
  <c r="CS270" i="1"/>
  <c r="CS92" i="1"/>
  <c r="CS137" i="1"/>
  <c r="CS213" i="1"/>
  <c r="CS159" i="1"/>
  <c r="CS87" i="1"/>
  <c r="CS180" i="1"/>
  <c r="CS30" i="1"/>
  <c r="CS154" i="1"/>
  <c r="CS224" i="1"/>
  <c r="CS248" i="1"/>
  <c r="CS260" i="1"/>
  <c r="CS109" i="1"/>
  <c r="CS169" i="1"/>
  <c r="CS103" i="1"/>
  <c r="CS12" i="1"/>
  <c r="CS69" i="1"/>
  <c r="CS192" i="1"/>
  <c r="CS179" i="1"/>
  <c r="CS218" i="1"/>
  <c r="CS219" i="1"/>
  <c r="CS41" i="1"/>
  <c r="CS76" i="1"/>
  <c r="CS21" i="1"/>
  <c r="CS74" i="1"/>
  <c r="CS141" i="1"/>
  <c r="CS126" i="1"/>
  <c r="CS116" i="1"/>
  <c r="CS155" i="1"/>
  <c r="CS268" i="1"/>
  <c r="CS178" i="1"/>
  <c r="CS20" i="1"/>
  <c r="CS203" i="1"/>
  <c r="CS237" i="1"/>
  <c r="CT258" i="1" l="1"/>
  <c r="CW258" i="1"/>
  <c r="CV258" i="1"/>
  <c r="CU258" i="1"/>
  <c r="CU113" i="1"/>
  <c r="DE113" i="1"/>
  <c r="DD258" i="1"/>
  <c r="CY258" i="1"/>
  <c r="DC258" i="1"/>
  <c r="DA258" i="1"/>
  <c r="DF258" i="1"/>
  <c r="CX258" i="1"/>
  <c r="CZ258" i="1"/>
  <c r="DE258" i="1"/>
  <c r="DB258" i="1"/>
  <c r="DC113" i="1"/>
  <c r="DD113" i="1"/>
  <c r="DF113" i="1"/>
  <c r="CX113" i="1"/>
  <c r="DG113" i="1"/>
  <c r="DB113" i="1"/>
  <c r="CT113" i="1"/>
  <c r="CW113" i="1"/>
  <c r="CZ113" i="1"/>
  <c r="CV113" i="1"/>
  <c r="DA113" i="1"/>
  <c r="C38" i="3"/>
  <c r="F37" i="3"/>
  <c r="E45" i="3"/>
  <c r="DD267" i="1"/>
  <c r="CX101" i="1"/>
  <c r="CV101" i="1"/>
  <c r="CZ101" i="1"/>
  <c r="CW101" i="1"/>
  <c r="DA101" i="1"/>
  <c r="CY101" i="1"/>
  <c r="CV186" i="1"/>
  <c r="CZ186" i="1"/>
  <c r="CY186" i="1"/>
  <c r="CW186" i="1"/>
  <c r="DA186" i="1"/>
  <c r="CX186" i="1"/>
  <c r="CY127" i="1"/>
  <c r="CW127" i="1"/>
  <c r="DD127" i="1"/>
  <c r="DB127" i="1"/>
  <c r="DF127" i="1"/>
  <c r="DA127" i="1"/>
  <c r="CX127" i="1"/>
  <c r="CV127" i="1"/>
  <c r="DE127" i="1"/>
  <c r="CZ127" i="1"/>
  <c r="DG127" i="1"/>
  <c r="CU127" i="1"/>
  <c r="DC127" i="1"/>
  <c r="DE210" i="1"/>
  <c r="CY210" i="1"/>
  <c r="DG210" i="1"/>
  <c r="DA210" i="1"/>
  <c r="CW210" i="1"/>
  <c r="DC210" i="1"/>
  <c r="CZ210" i="1"/>
  <c r="CT210" i="1"/>
  <c r="CV210" i="1"/>
  <c r="DD210" i="1"/>
  <c r="DB210" i="1"/>
  <c r="CU210" i="1"/>
  <c r="DF210" i="1"/>
  <c r="DD13" i="1"/>
  <c r="CV13" i="1"/>
  <c r="CZ124" i="1"/>
  <c r="CU79" i="1"/>
  <c r="DA124" i="1"/>
  <c r="CU95" i="1"/>
  <c r="CU13" i="1"/>
  <c r="CV250" i="1"/>
  <c r="CW13" i="1"/>
  <c r="DE95" i="1"/>
  <c r="CT250" i="1"/>
  <c r="CW95" i="1"/>
  <c r="CU250" i="1"/>
  <c r="DA95" i="1"/>
  <c r="CV95" i="1"/>
  <c r="CW250" i="1"/>
  <c r="DB95" i="1"/>
  <c r="DF250" i="1"/>
  <c r="DC13" i="1"/>
  <c r="DD79" i="1"/>
  <c r="DE250" i="1"/>
  <c r="CY13" i="1"/>
  <c r="DD95" i="1"/>
  <c r="DF13" i="1"/>
  <c r="CZ95" i="1"/>
  <c r="DA13" i="1"/>
  <c r="DB13" i="1"/>
  <c r="DG95" i="1"/>
  <c r="DG13" i="1"/>
  <c r="DF95" i="1"/>
  <c r="DE13" i="1"/>
  <c r="DC95" i="1"/>
  <c r="CZ13" i="1"/>
  <c r="CX13" i="1"/>
  <c r="CT95" i="1"/>
  <c r="DF124" i="1"/>
  <c r="CV124" i="1"/>
  <c r="DD124" i="1"/>
  <c r="CY95" i="1"/>
  <c r="DE209" i="1"/>
  <c r="DC209" i="1"/>
  <c r="CU209" i="1"/>
  <c r="CV112" i="1"/>
  <c r="CU124" i="1"/>
  <c r="CW209" i="1"/>
  <c r="DD209" i="1"/>
  <c r="DE124" i="1"/>
  <c r="CY124" i="1"/>
  <c r="DB124" i="1"/>
  <c r="DA209" i="1"/>
  <c r="DB209" i="1"/>
  <c r="DG124" i="1"/>
  <c r="DG209" i="1"/>
  <c r="CY209" i="1"/>
  <c r="CW124" i="1"/>
  <c r="CV209" i="1"/>
  <c r="DF209" i="1"/>
  <c r="DC124" i="1"/>
  <c r="CX124" i="1"/>
  <c r="CZ209" i="1"/>
  <c r="CX209" i="1"/>
  <c r="DD250" i="1"/>
  <c r="CY250" i="1"/>
  <c r="DC250" i="1"/>
  <c r="CW79" i="1"/>
  <c r="DE79" i="1"/>
  <c r="DG79" i="1"/>
  <c r="CV79" i="1"/>
  <c r="CU267" i="1"/>
  <c r="DC79" i="1"/>
  <c r="DF79" i="1"/>
  <c r="CY79" i="1"/>
  <c r="DA79" i="1"/>
  <c r="CX79" i="1"/>
  <c r="CT79" i="1"/>
  <c r="CZ250" i="1"/>
  <c r="CZ79" i="1"/>
  <c r="DA250" i="1"/>
  <c r="DG250" i="1"/>
  <c r="DB250" i="1"/>
  <c r="DD112" i="1"/>
  <c r="CY112" i="1"/>
  <c r="DG112" i="1"/>
  <c r="CW267" i="1"/>
  <c r="DA112" i="1"/>
  <c r="CX112" i="1"/>
  <c r="CZ112" i="1"/>
  <c r="CT112" i="1"/>
  <c r="CU112" i="1"/>
  <c r="DE112" i="1"/>
  <c r="DC112" i="1"/>
  <c r="CW112" i="1"/>
  <c r="DF112" i="1"/>
  <c r="CT116" i="1"/>
  <c r="DG116" i="1"/>
  <c r="CT218" i="1"/>
  <c r="DG218" i="1"/>
  <c r="CT260" i="1"/>
  <c r="DG260" i="1"/>
  <c r="CT159" i="1"/>
  <c r="DG159" i="1"/>
  <c r="CT201" i="1"/>
  <c r="DG201" i="1"/>
  <c r="CT15" i="1"/>
  <c r="DG15" i="1"/>
  <c r="CT217" i="1"/>
  <c r="DG217" i="1"/>
  <c r="CT157" i="1"/>
  <c r="DG157" i="1"/>
  <c r="CT191" i="1"/>
  <c r="DG191" i="1"/>
  <c r="CT214" i="1"/>
  <c r="DG214" i="1"/>
  <c r="CT61" i="1"/>
  <c r="DG61" i="1"/>
  <c r="CT65" i="1"/>
  <c r="DG65" i="1"/>
  <c r="CT245" i="1"/>
  <c r="DG245" i="1"/>
  <c r="CT128" i="1"/>
  <c r="DG128" i="1"/>
  <c r="CT207" i="1"/>
  <c r="DG207" i="1"/>
  <c r="CT167" i="1"/>
  <c r="DG167" i="1"/>
  <c r="CT54" i="1"/>
  <c r="DG54" i="1"/>
  <c r="CT262" i="1"/>
  <c r="DG262" i="1"/>
  <c r="CT7" i="1"/>
  <c r="DG7" i="1"/>
  <c r="CT29" i="1"/>
  <c r="DG29" i="1"/>
  <c r="CT211" i="1"/>
  <c r="DG211" i="1"/>
  <c r="CT135" i="1"/>
  <c r="DG135" i="1"/>
  <c r="CT161" i="1"/>
  <c r="DG161" i="1"/>
  <c r="CT75" i="1"/>
  <c r="DG75" i="1"/>
  <c r="CT237" i="1"/>
  <c r="DG237" i="1"/>
  <c r="CT268" i="1"/>
  <c r="DG268" i="1"/>
  <c r="CT126" i="1"/>
  <c r="DG126" i="1"/>
  <c r="CT76" i="1"/>
  <c r="DG76" i="1"/>
  <c r="CT179" i="1"/>
  <c r="DG179" i="1"/>
  <c r="CT103" i="1"/>
  <c r="DG103" i="1"/>
  <c r="CT248" i="1"/>
  <c r="DG248" i="1"/>
  <c r="CT180" i="1"/>
  <c r="DG180" i="1"/>
  <c r="CT213" i="1"/>
  <c r="DG213" i="1"/>
  <c r="CT96" i="1"/>
  <c r="DG96" i="1"/>
  <c r="CT149" i="1"/>
  <c r="DG149" i="1"/>
  <c r="CT188" i="1"/>
  <c r="DG188" i="1"/>
  <c r="CT153" i="1"/>
  <c r="DG153" i="1"/>
  <c r="CT117" i="1"/>
  <c r="DG117" i="1"/>
  <c r="CT106" i="1"/>
  <c r="DG106" i="1"/>
  <c r="CT18" i="1"/>
  <c r="DG18" i="1"/>
  <c r="CT73" i="1"/>
  <c r="DG73" i="1"/>
  <c r="CT60" i="1"/>
  <c r="DG60" i="1"/>
  <c r="CT36" i="1"/>
  <c r="DG36" i="1"/>
  <c r="CT120" i="1"/>
  <c r="DG120" i="1"/>
  <c r="CT142" i="1"/>
  <c r="DG142" i="1"/>
  <c r="CT176" i="1"/>
  <c r="DG176" i="1"/>
  <c r="CT37" i="1"/>
  <c r="DG37" i="1"/>
  <c r="CT143" i="1"/>
  <c r="DG143" i="1"/>
  <c r="CT243" i="1"/>
  <c r="DG243" i="1"/>
  <c r="CT233" i="1"/>
  <c r="DG233" i="1"/>
  <c r="CT212" i="1"/>
  <c r="DG212" i="1"/>
  <c r="CT133" i="1"/>
  <c r="DG133" i="1"/>
  <c r="CT90" i="1"/>
  <c r="DG90" i="1"/>
  <c r="CT97" i="1"/>
  <c r="DG97" i="1"/>
  <c r="CT227" i="1"/>
  <c r="DG227" i="1"/>
  <c r="CT271" i="1"/>
  <c r="DG271" i="1"/>
  <c r="CT110" i="1"/>
  <c r="DG110" i="1"/>
  <c r="CT222" i="1"/>
  <c r="DG222" i="1"/>
  <c r="CT67" i="1"/>
  <c r="DG67" i="1"/>
  <c r="CT134" i="1"/>
  <c r="DG134" i="1"/>
  <c r="CT42" i="1"/>
  <c r="DG42" i="1"/>
  <c r="CT132" i="1"/>
  <c r="DG132" i="1"/>
  <c r="CT11" i="1"/>
  <c r="DG11" i="1"/>
  <c r="CT118" i="1"/>
  <c r="DG118" i="1"/>
  <c r="CT38" i="1"/>
  <c r="DG38" i="1"/>
  <c r="CT232" i="1"/>
  <c r="DG232" i="1"/>
  <c r="CT83" i="1"/>
  <c r="DG83" i="1"/>
  <c r="CT84" i="1"/>
  <c r="DG84" i="1"/>
  <c r="CT228" i="1"/>
  <c r="DG228" i="1"/>
  <c r="CT174" i="1"/>
  <c r="DG174" i="1"/>
  <c r="CT170" i="1"/>
  <c r="DG170" i="1"/>
  <c r="CT98" i="1"/>
  <c r="DG98" i="1"/>
  <c r="CT195" i="1"/>
  <c r="DG195" i="1"/>
  <c r="CT14" i="1"/>
  <c r="DG14" i="1"/>
  <c r="CT263" i="1"/>
  <c r="DG263" i="1"/>
  <c r="CT225" i="1"/>
  <c r="DG225" i="1"/>
  <c r="CT81" i="1"/>
  <c r="DG81" i="1"/>
  <c r="CT72" i="1"/>
  <c r="DG72" i="1"/>
  <c r="CT204" i="1"/>
  <c r="DG204" i="1"/>
  <c r="CT150" i="1"/>
  <c r="DG150" i="1"/>
  <c r="CT173" i="1"/>
  <c r="DG173" i="1"/>
  <c r="CT226" i="1"/>
  <c r="DG226" i="1"/>
  <c r="CT138" i="1"/>
  <c r="DG138" i="1"/>
  <c r="CT52" i="1"/>
  <c r="DG52" i="1"/>
  <c r="CT175" i="1"/>
  <c r="DG175" i="1"/>
  <c r="CT140" i="1"/>
  <c r="DG140" i="1"/>
  <c r="CT66" i="1"/>
  <c r="DG66" i="1"/>
  <c r="CT194" i="1"/>
  <c r="DG194" i="1"/>
  <c r="CT252" i="1"/>
  <c r="DG252" i="1"/>
  <c r="CT270" i="1"/>
  <c r="DG270" i="1"/>
  <c r="CT43" i="1"/>
  <c r="DG43" i="1"/>
  <c r="CT235" i="1"/>
  <c r="DG235" i="1"/>
  <c r="CT196" i="1"/>
  <c r="DG196" i="1"/>
  <c r="CT27" i="1"/>
  <c r="DG27" i="1"/>
  <c r="CT265" i="1"/>
  <c r="DG265" i="1"/>
  <c r="CT114" i="1"/>
  <c r="DG114" i="1"/>
  <c r="CT22" i="1"/>
  <c r="DG22" i="1"/>
  <c r="CT100" i="1"/>
  <c r="DG100" i="1"/>
  <c r="CT8" i="1"/>
  <c r="DG8" i="1"/>
  <c r="CT144" i="1"/>
  <c r="DG144" i="1"/>
  <c r="CT71" i="1"/>
  <c r="DG71" i="1"/>
  <c r="CT269" i="1"/>
  <c r="DG269" i="1"/>
  <c r="CT255" i="1"/>
  <c r="DG255" i="1"/>
  <c r="CT25" i="1"/>
  <c r="DG25" i="1"/>
  <c r="CT192" i="1"/>
  <c r="DG192" i="1"/>
  <c r="CT216" i="1"/>
  <c r="DG216" i="1"/>
  <c r="CT105" i="1"/>
  <c r="DG105" i="1"/>
  <c r="CT108" i="1"/>
  <c r="DG108" i="1"/>
  <c r="CT82" i="1"/>
  <c r="DG82" i="1"/>
  <c r="CT50" i="1"/>
  <c r="DG50" i="1"/>
  <c r="CT123" i="1"/>
  <c r="DG123" i="1"/>
  <c r="CT45" i="1"/>
  <c r="DG45" i="1"/>
  <c r="CT148" i="1"/>
  <c r="DG148" i="1"/>
  <c r="CT253" i="1"/>
  <c r="DG253" i="1"/>
  <c r="CT244" i="1"/>
  <c r="DG244" i="1"/>
  <c r="CT125" i="1"/>
  <c r="DG125" i="1"/>
  <c r="CT121" i="1"/>
  <c r="DG121" i="1"/>
  <c r="CT185" i="1"/>
  <c r="DG185" i="1"/>
  <c r="CT70" i="1"/>
  <c r="DG70" i="1"/>
  <c r="CT146" i="1"/>
  <c r="DG146" i="1"/>
  <c r="CT78" i="1"/>
  <c r="DG78" i="1"/>
  <c r="CT205" i="1"/>
  <c r="DG205" i="1"/>
  <c r="CT19" i="1"/>
  <c r="DG19" i="1"/>
  <c r="CT187" i="1"/>
  <c r="DG187" i="1"/>
  <c r="CT17" i="1"/>
  <c r="DG17" i="1"/>
  <c r="CT94" i="1"/>
  <c r="DG94" i="1"/>
  <c r="CT80" i="1"/>
  <c r="DG80" i="1"/>
  <c r="CT39" i="1"/>
  <c r="DG39" i="1"/>
  <c r="CT193" i="1"/>
  <c r="DG193" i="1"/>
  <c r="CT220" i="1"/>
  <c r="DG220" i="1"/>
  <c r="CT89" i="1"/>
  <c r="DG89" i="1"/>
  <c r="CT254" i="1"/>
  <c r="DG254" i="1"/>
  <c r="CT51" i="1"/>
  <c r="DG51" i="1"/>
  <c r="CT266" i="1"/>
  <c r="DG266" i="1"/>
  <c r="CT130" i="1"/>
  <c r="DG130" i="1"/>
  <c r="CT101" i="1"/>
  <c r="DG101" i="1"/>
  <c r="CT64" i="1"/>
  <c r="DG64" i="1"/>
  <c r="CT85" i="1"/>
  <c r="DG85" i="1"/>
  <c r="CT257" i="1"/>
  <c r="DG257" i="1"/>
  <c r="CT26" i="1"/>
  <c r="DG26" i="1"/>
  <c r="CT264" i="1"/>
  <c r="DG264" i="1"/>
  <c r="CT236" i="1"/>
  <c r="DG236" i="1"/>
  <c r="CT55" i="1"/>
  <c r="DG55" i="1"/>
  <c r="CT77" i="1"/>
  <c r="DG77" i="1"/>
  <c r="CT231" i="1"/>
  <c r="DG231" i="1"/>
  <c r="CT162" i="1"/>
  <c r="DG162" i="1"/>
  <c r="CT249" i="1"/>
  <c r="DG249" i="1"/>
  <c r="CT171" i="1"/>
  <c r="DG171" i="1"/>
  <c r="CT63" i="1"/>
  <c r="DG63" i="1"/>
  <c r="CT139" i="1"/>
  <c r="DG139" i="1"/>
  <c r="CT48" i="1"/>
  <c r="DG48" i="1"/>
  <c r="CT10" i="1"/>
  <c r="DG10" i="1"/>
  <c r="CT34" i="1"/>
  <c r="DG34" i="1"/>
  <c r="CT242" i="1"/>
  <c r="DG242" i="1"/>
  <c r="CT178" i="1"/>
  <c r="DG178" i="1"/>
  <c r="CT21" i="1"/>
  <c r="DG21" i="1"/>
  <c r="CT12" i="1"/>
  <c r="DG12" i="1"/>
  <c r="CT30" i="1"/>
  <c r="DG30" i="1"/>
  <c r="CT246" i="1"/>
  <c r="DG246" i="1"/>
  <c r="CT31" i="1"/>
  <c r="DG31" i="1"/>
  <c r="CT102" i="1"/>
  <c r="DG102" i="1"/>
  <c r="CT33" i="1"/>
  <c r="DG33" i="1"/>
  <c r="CT32" i="1"/>
  <c r="DG32" i="1"/>
  <c r="CT131" i="1"/>
  <c r="DG131" i="1"/>
  <c r="CT9" i="1"/>
  <c r="DG9" i="1"/>
  <c r="CT62" i="1"/>
  <c r="DG62" i="1"/>
  <c r="CT119" i="1"/>
  <c r="DG119" i="1"/>
  <c r="CT23" i="1"/>
  <c r="DG23" i="1"/>
  <c r="CT57" i="1"/>
  <c r="DG57" i="1"/>
  <c r="CT200" i="1"/>
  <c r="DG200" i="1"/>
  <c r="CT68" i="1"/>
  <c r="DG68" i="1"/>
  <c r="CT199" i="1"/>
  <c r="DG199" i="1"/>
  <c r="CT107" i="1"/>
  <c r="DG107" i="1"/>
  <c r="CT165" i="1"/>
  <c r="DG165" i="1"/>
  <c r="CT183" i="1"/>
  <c r="DG183" i="1"/>
  <c r="CT197" i="1"/>
  <c r="DG197" i="1"/>
  <c r="CT129" i="1"/>
  <c r="DG129" i="1"/>
  <c r="CT158" i="1"/>
  <c r="DG158" i="1"/>
  <c r="CT203" i="1"/>
  <c r="DG203" i="1"/>
  <c r="CT141" i="1"/>
  <c r="DG141" i="1"/>
  <c r="CT41" i="1"/>
  <c r="DG41" i="1"/>
  <c r="CT169" i="1"/>
  <c r="DG169" i="1"/>
  <c r="CT224" i="1"/>
  <c r="DG224" i="1"/>
  <c r="CT137" i="1"/>
  <c r="DG137" i="1"/>
  <c r="CT223" i="1"/>
  <c r="DG223" i="1"/>
  <c r="CT164" i="1"/>
  <c r="DG164" i="1"/>
  <c r="CT44" i="1"/>
  <c r="DG44" i="1"/>
  <c r="CT168" i="1"/>
  <c r="DG168" i="1"/>
  <c r="CT259" i="1"/>
  <c r="DG259" i="1"/>
  <c r="CT163" i="1"/>
  <c r="DG163" i="1"/>
  <c r="CT115" i="1"/>
  <c r="DG115" i="1"/>
  <c r="CT20" i="1"/>
  <c r="DG20" i="1"/>
  <c r="CT155" i="1"/>
  <c r="DG155" i="1"/>
  <c r="CT74" i="1"/>
  <c r="DG74" i="1"/>
  <c r="CT219" i="1"/>
  <c r="DG219" i="1"/>
  <c r="CT69" i="1"/>
  <c r="DG69" i="1"/>
  <c r="CT109" i="1"/>
  <c r="DG109" i="1"/>
  <c r="CT154" i="1"/>
  <c r="DG154" i="1"/>
  <c r="CT87" i="1"/>
  <c r="DG87" i="1"/>
  <c r="CT92" i="1"/>
  <c r="DG92" i="1"/>
  <c r="CT166" i="1"/>
  <c r="DG166" i="1"/>
  <c r="CT86" i="1"/>
  <c r="DG86" i="1"/>
  <c r="CT111" i="1"/>
  <c r="DG111" i="1"/>
  <c r="CT58" i="1"/>
  <c r="DG58" i="1"/>
  <c r="CT53" i="1"/>
  <c r="DG53" i="1"/>
  <c r="CT186" i="1"/>
  <c r="DG186" i="1"/>
  <c r="CT136" i="1"/>
  <c r="DG136" i="1"/>
  <c r="CT208" i="1"/>
  <c r="DG208" i="1"/>
  <c r="CT93" i="1"/>
  <c r="DG93" i="1"/>
  <c r="CT256" i="1"/>
  <c r="DG256" i="1"/>
  <c r="CT189" i="1"/>
  <c r="DG189" i="1"/>
  <c r="CT238" i="1"/>
  <c r="DG238" i="1"/>
  <c r="CT28" i="1"/>
  <c r="DG28" i="1"/>
  <c r="CT230" i="1"/>
  <c r="DG230" i="1"/>
  <c r="CT147" i="1"/>
  <c r="DG147" i="1"/>
  <c r="CT88" i="1"/>
  <c r="DG88" i="1"/>
  <c r="CT240" i="1"/>
  <c r="DG240" i="1"/>
  <c r="CT145" i="1"/>
  <c r="DG145" i="1"/>
  <c r="CT91" i="1"/>
  <c r="DG91" i="1"/>
  <c r="CT59" i="1"/>
  <c r="DG59" i="1"/>
  <c r="CT152" i="1"/>
  <c r="DG152" i="1"/>
  <c r="CT46" i="1"/>
  <c r="DG46" i="1"/>
  <c r="CT122" i="1"/>
  <c r="DG122" i="1"/>
  <c r="CT99" i="1"/>
  <c r="DG99" i="1"/>
  <c r="CT241" i="1"/>
  <c r="DG241" i="1"/>
  <c r="CT229" i="1"/>
  <c r="DG229" i="1"/>
  <c r="CT215" i="1"/>
  <c r="DG215" i="1"/>
  <c r="CT239" i="1"/>
  <c r="DG239" i="1"/>
  <c r="CT16" i="1"/>
  <c r="DG16" i="1"/>
  <c r="CT24" i="1"/>
  <c r="DG24" i="1"/>
  <c r="CT184" i="1"/>
  <c r="DG184" i="1"/>
  <c r="CT221" i="1"/>
  <c r="DG221" i="1"/>
  <c r="CT261" i="1"/>
  <c r="DG261" i="1"/>
  <c r="CT47" i="1"/>
  <c r="DG47" i="1"/>
  <c r="CT247" i="1"/>
  <c r="DG247" i="1"/>
  <c r="CT56" i="1"/>
  <c r="DG56" i="1"/>
  <c r="CT234" i="1"/>
  <c r="DG234" i="1"/>
  <c r="CT198" i="1"/>
  <c r="DG198" i="1"/>
  <c r="CT35" i="1"/>
  <c r="DG35" i="1"/>
  <c r="CT181" i="1"/>
  <c r="DG181" i="1"/>
  <c r="CT151" i="1"/>
  <c r="DG151" i="1"/>
  <c r="CT156" i="1"/>
  <c r="DG156" i="1"/>
  <c r="CT177" i="1"/>
  <c r="DG177" i="1"/>
  <c r="CT49" i="1"/>
  <c r="DG49" i="1"/>
  <c r="CT251" i="1"/>
  <c r="DG251" i="1"/>
  <c r="CT202" i="1"/>
  <c r="DG202" i="1"/>
  <c r="CT190" i="1"/>
  <c r="DG190" i="1"/>
  <c r="CT172" i="1"/>
  <c r="DG172" i="1"/>
  <c r="CT104" i="1"/>
  <c r="DG104" i="1"/>
  <c r="CT206" i="1"/>
  <c r="DG206" i="1"/>
  <c r="CT182" i="1"/>
  <c r="DG182" i="1"/>
  <c r="CT160" i="1"/>
  <c r="DG160" i="1"/>
  <c r="CT40" i="1"/>
  <c r="DG40" i="1"/>
  <c r="CT267" i="1"/>
  <c r="DG267" i="1"/>
  <c r="CZ20" i="1"/>
  <c r="DA20" i="1"/>
  <c r="CX20" i="1"/>
  <c r="CY20" i="1"/>
  <c r="DB20" i="1"/>
  <c r="DC20" i="1"/>
  <c r="CX219" i="1"/>
  <c r="DB219" i="1"/>
  <c r="CZ219" i="1"/>
  <c r="DA219" i="1"/>
  <c r="DC219" i="1"/>
  <c r="CY219" i="1"/>
  <c r="CZ154" i="1"/>
  <c r="DA154" i="1"/>
  <c r="DB154" i="1"/>
  <c r="CX154" i="1"/>
  <c r="DC154" i="1"/>
  <c r="CY154" i="1"/>
  <c r="CX92" i="1"/>
  <c r="DB92" i="1"/>
  <c r="CY92" i="1"/>
  <c r="DC92" i="1"/>
  <c r="CZ92" i="1"/>
  <c r="DA92" i="1"/>
  <c r="CX111" i="1"/>
  <c r="DB111" i="1"/>
  <c r="DA111" i="1"/>
  <c r="DC111" i="1"/>
  <c r="CY111" i="1"/>
  <c r="CZ111" i="1"/>
  <c r="CX53" i="1"/>
  <c r="DB53" i="1"/>
  <c r="CY53" i="1"/>
  <c r="DC53" i="1"/>
  <c r="CZ53" i="1"/>
  <c r="DA53" i="1"/>
  <c r="CZ136" i="1"/>
  <c r="DA136" i="1"/>
  <c r="DB136" i="1"/>
  <c r="CX136" i="1"/>
  <c r="DC136" i="1"/>
  <c r="CY136" i="1"/>
  <c r="CZ256" i="1"/>
  <c r="DB256" i="1"/>
  <c r="CX256" i="1"/>
  <c r="DC256" i="1"/>
  <c r="CY256" i="1"/>
  <c r="DA256" i="1"/>
  <c r="CZ28" i="1"/>
  <c r="DA28" i="1"/>
  <c r="CX28" i="1"/>
  <c r="DC28" i="1"/>
  <c r="CY28" i="1"/>
  <c r="DB28" i="1"/>
  <c r="CX147" i="1"/>
  <c r="DB147" i="1"/>
  <c r="CY147" i="1"/>
  <c r="CZ147" i="1"/>
  <c r="DA147" i="1"/>
  <c r="DC147" i="1"/>
  <c r="CX145" i="1"/>
  <c r="DB145" i="1"/>
  <c r="CZ145" i="1"/>
  <c r="DA145" i="1"/>
  <c r="DC145" i="1"/>
  <c r="CY145" i="1"/>
  <c r="CX59" i="1"/>
  <c r="DB59" i="1"/>
  <c r="CY59" i="1"/>
  <c r="DC59" i="1"/>
  <c r="CZ59" i="1"/>
  <c r="DA59" i="1"/>
  <c r="CZ122" i="1"/>
  <c r="CY122" i="1"/>
  <c r="DA122" i="1"/>
  <c r="DB122" i="1"/>
  <c r="CX122" i="1"/>
  <c r="DC122" i="1"/>
  <c r="CX241" i="1"/>
  <c r="DB241" i="1"/>
  <c r="DA241" i="1"/>
  <c r="CY241" i="1"/>
  <c r="DC241" i="1"/>
  <c r="CZ241" i="1"/>
  <c r="CX239" i="1"/>
  <c r="DB239" i="1"/>
  <c r="DC239" i="1"/>
  <c r="CZ239" i="1"/>
  <c r="CY239" i="1"/>
  <c r="DA239" i="1"/>
  <c r="CZ184" i="1"/>
  <c r="DB184" i="1"/>
  <c r="CX184" i="1"/>
  <c r="DC184" i="1"/>
  <c r="CY184" i="1"/>
  <c r="DA184" i="1"/>
  <c r="CZ130" i="1"/>
  <c r="CY130" i="1"/>
  <c r="DA130" i="1"/>
  <c r="DB130" i="1"/>
  <c r="DC130" i="1"/>
  <c r="CX130" i="1"/>
  <c r="CZ64" i="1"/>
  <c r="DA64" i="1"/>
  <c r="CX64" i="1"/>
  <c r="DB64" i="1"/>
  <c r="DC64" i="1"/>
  <c r="CY64" i="1"/>
  <c r="CX257" i="1"/>
  <c r="DB257" i="1"/>
  <c r="DA257" i="1"/>
  <c r="CY257" i="1"/>
  <c r="DC257" i="1"/>
  <c r="CZ257" i="1"/>
  <c r="CX264" i="1"/>
  <c r="DB264" i="1"/>
  <c r="DA264" i="1"/>
  <c r="DC264" i="1"/>
  <c r="CY264" i="1"/>
  <c r="CZ264" i="1"/>
  <c r="CX77" i="1"/>
  <c r="DB77" i="1"/>
  <c r="DC77" i="1"/>
  <c r="CY77" i="1"/>
  <c r="CZ77" i="1"/>
  <c r="DA77" i="1"/>
  <c r="CZ162" i="1"/>
  <c r="DA162" i="1"/>
  <c r="DB162" i="1"/>
  <c r="CX162" i="1"/>
  <c r="DC162" i="1"/>
  <c r="CY162" i="1"/>
  <c r="CX171" i="1"/>
  <c r="DB171" i="1"/>
  <c r="CY171" i="1"/>
  <c r="DC171" i="1"/>
  <c r="CZ171" i="1"/>
  <c r="DA171" i="1"/>
  <c r="CX63" i="1"/>
  <c r="DB63" i="1"/>
  <c r="CY63" i="1"/>
  <c r="DC63" i="1"/>
  <c r="CZ63" i="1"/>
  <c r="DA63" i="1"/>
  <c r="CZ48" i="1"/>
  <c r="DA48" i="1"/>
  <c r="CX48" i="1"/>
  <c r="DB48" i="1"/>
  <c r="DC48" i="1"/>
  <c r="CY48" i="1"/>
  <c r="CW10" i="1"/>
  <c r="CZ10" i="1"/>
  <c r="DA10" i="1"/>
  <c r="DB10" i="1"/>
  <c r="CX10" i="1"/>
  <c r="CY10" i="1"/>
  <c r="DC10" i="1"/>
  <c r="CZ34" i="1"/>
  <c r="DA34" i="1"/>
  <c r="DB34" i="1"/>
  <c r="CY34" i="1"/>
  <c r="DC34" i="1"/>
  <c r="CX34" i="1"/>
  <c r="DE242" i="1"/>
  <c r="CZ242" i="1"/>
  <c r="DA242" i="1"/>
  <c r="DC242" i="1"/>
  <c r="DB242" i="1"/>
  <c r="CX242" i="1"/>
  <c r="CY242" i="1"/>
  <c r="CZ178" i="1"/>
  <c r="DA178" i="1"/>
  <c r="CX178" i="1"/>
  <c r="DC178" i="1"/>
  <c r="DB178" i="1"/>
  <c r="CY178" i="1"/>
  <c r="CZ116" i="1"/>
  <c r="CX116" i="1"/>
  <c r="DC116" i="1"/>
  <c r="CY116" i="1"/>
  <c r="DA116" i="1"/>
  <c r="DB116" i="1"/>
  <c r="CX21" i="1"/>
  <c r="DB21" i="1"/>
  <c r="CY21" i="1"/>
  <c r="DC21" i="1"/>
  <c r="CZ21" i="1"/>
  <c r="DA21" i="1"/>
  <c r="CZ218" i="1"/>
  <c r="DA218" i="1"/>
  <c r="DC218" i="1"/>
  <c r="DB218" i="1"/>
  <c r="CX218" i="1"/>
  <c r="CY218" i="1"/>
  <c r="CZ12" i="1"/>
  <c r="DA12" i="1"/>
  <c r="CX12" i="1"/>
  <c r="DC12" i="1"/>
  <c r="CY12" i="1"/>
  <c r="DB12" i="1"/>
  <c r="CZ260" i="1"/>
  <c r="CY260" i="1"/>
  <c r="DB260" i="1"/>
  <c r="DA260" i="1"/>
  <c r="DC260" i="1"/>
  <c r="CX260" i="1"/>
  <c r="CZ30" i="1"/>
  <c r="DA30" i="1"/>
  <c r="DB30" i="1"/>
  <c r="DC30" i="1"/>
  <c r="CX30" i="1"/>
  <c r="CY30" i="1"/>
  <c r="CX159" i="1"/>
  <c r="DB159" i="1"/>
  <c r="CY159" i="1"/>
  <c r="DC159" i="1"/>
  <c r="CZ159" i="1"/>
  <c r="DA159" i="1"/>
  <c r="CZ270" i="1"/>
  <c r="DB270" i="1"/>
  <c r="CX270" i="1"/>
  <c r="DC270" i="1"/>
  <c r="CY270" i="1"/>
  <c r="DA270" i="1"/>
  <c r="CZ246" i="1"/>
  <c r="CX246" i="1"/>
  <c r="DC246" i="1"/>
  <c r="DA246" i="1"/>
  <c r="CY246" i="1"/>
  <c r="DB246" i="1"/>
  <c r="CX201" i="1"/>
  <c r="DB201" i="1"/>
  <c r="DA201" i="1"/>
  <c r="DC201" i="1"/>
  <c r="CY201" i="1"/>
  <c r="CZ201" i="1"/>
  <c r="CX31" i="1"/>
  <c r="DB31" i="1"/>
  <c r="CY31" i="1"/>
  <c r="DC31" i="1"/>
  <c r="CZ31" i="1"/>
  <c r="DA31" i="1"/>
  <c r="CX15" i="1"/>
  <c r="DB15" i="1"/>
  <c r="CY15" i="1"/>
  <c r="DC15" i="1"/>
  <c r="CZ15" i="1"/>
  <c r="DA15" i="1"/>
  <c r="CX43" i="1"/>
  <c r="DB43" i="1"/>
  <c r="CY43" i="1"/>
  <c r="DC43" i="1"/>
  <c r="CZ43" i="1"/>
  <c r="DA43" i="1"/>
  <c r="CZ102" i="1"/>
  <c r="DB102" i="1"/>
  <c r="CX102" i="1"/>
  <c r="DC102" i="1"/>
  <c r="CY102" i="1"/>
  <c r="DA102" i="1"/>
  <c r="CX217" i="1"/>
  <c r="DB217" i="1"/>
  <c r="DA217" i="1"/>
  <c r="CY217" i="1"/>
  <c r="DC217" i="1"/>
  <c r="CZ217" i="1"/>
  <c r="CX235" i="1"/>
  <c r="DB235" i="1"/>
  <c r="CZ235" i="1"/>
  <c r="DC235" i="1"/>
  <c r="DA235" i="1"/>
  <c r="CY235" i="1"/>
  <c r="CX33" i="1"/>
  <c r="DB33" i="1"/>
  <c r="CY33" i="1"/>
  <c r="DC33" i="1"/>
  <c r="CZ33" i="1"/>
  <c r="DA33" i="1"/>
  <c r="CX157" i="1"/>
  <c r="DB157" i="1"/>
  <c r="CY157" i="1"/>
  <c r="DC157" i="1"/>
  <c r="CZ157" i="1"/>
  <c r="DA157" i="1"/>
  <c r="CZ196" i="1"/>
  <c r="CY196" i="1"/>
  <c r="DA196" i="1"/>
  <c r="DB196" i="1"/>
  <c r="DC196" i="1"/>
  <c r="CX196" i="1"/>
  <c r="CZ32" i="1"/>
  <c r="DA32" i="1"/>
  <c r="CX32" i="1"/>
  <c r="DB32" i="1"/>
  <c r="DC32" i="1"/>
  <c r="CY32" i="1"/>
  <c r="CZ191" i="1"/>
  <c r="DB191" i="1"/>
  <c r="CX191" i="1"/>
  <c r="DC191" i="1"/>
  <c r="CY191" i="1"/>
  <c r="DA191" i="1"/>
  <c r="CX27" i="1"/>
  <c r="DB27" i="1"/>
  <c r="CY27" i="1"/>
  <c r="DC27" i="1"/>
  <c r="CZ27" i="1"/>
  <c r="DA27" i="1"/>
  <c r="CX131" i="1"/>
  <c r="DB131" i="1"/>
  <c r="CY131" i="1"/>
  <c r="CZ131" i="1"/>
  <c r="DA131" i="1"/>
  <c r="DC131" i="1"/>
  <c r="CZ214" i="1"/>
  <c r="CX214" i="1"/>
  <c r="DC214" i="1"/>
  <c r="CY214" i="1"/>
  <c r="DA214" i="1"/>
  <c r="DB214" i="1"/>
  <c r="CX9" i="1"/>
  <c r="DB9" i="1"/>
  <c r="CY9" i="1"/>
  <c r="DC9" i="1"/>
  <c r="CZ9" i="1"/>
  <c r="DA9" i="1"/>
  <c r="CZ265" i="1"/>
  <c r="DA265" i="1"/>
  <c r="CX265" i="1"/>
  <c r="DB265" i="1"/>
  <c r="DC265" i="1"/>
  <c r="CY265" i="1"/>
  <c r="CX61" i="1"/>
  <c r="DB61" i="1"/>
  <c r="CY61" i="1"/>
  <c r="DC61" i="1"/>
  <c r="CZ61" i="1"/>
  <c r="DA61" i="1"/>
  <c r="CZ62" i="1"/>
  <c r="DA62" i="1"/>
  <c r="DB62" i="1"/>
  <c r="DC62" i="1"/>
  <c r="CX62" i="1"/>
  <c r="CY62" i="1"/>
  <c r="CX65" i="1"/>
  <c r="DB65" i="1"/>
  <c r="CY65" i="1"/>
  <c r="DC65" i="1"/>
  <c r="CZ65" i="1"/>
  <c r="DA65" i="1"/>
  <c r="CX114" i="1"/>
  <c r="DB114" i="1"/>
  <c r="DA114" i="1"/>
  <c r="DC114" i="1"/>
  <c r="CY114" i="1"/>
  <c r="CZ114" i="1"/>
  <c r="CX245" i="1"/>
  <c r="DB245" i="1"/>
  <c r="CY245" i="1"/>
  <c r="CZ245" i="1"/>
  <c r="DA245" i="1"/>
  <c r="DC245" i="1"/>
  <c r="CX119" i="1"/>
  <c r="DB119" i="1"/>
  <c r="DA119" i="1"/>
  <c r="DC119" i="1"/>
  <c r="CY119" i="1"/>
  <c r="CZ119" i="1"/>
  <c r="CZ128" i="1"/>
  <c r="DA128" i="1"/>
  <c r="DB128" i="1"/>
  <c r="DC128" i="1"/>
  <c r="CX128" i="1"/>
  <c r="CY128" i="1"/>
  <c r="CX23" i="1"/>
  <c r="DB23" i="1"/>
  <c r="CY23" i="1"/>
  <c r="DC23" i="1"/>
  <c r="DA23" i="1"/>
  <c r="CZ23" i="1"/>
  <c r="CX207" i="1"/>
  <c r="DB207" i="1"/>
  <c r="DC207" i="1"/>
  <c r="CZ207" i="1"/>
  <c r="CY207" i="1"/>
  <c r="DA207" i="1"/>
  <c r="CZ22" i="1"/>
  <c r="DA22" i="1"/>
  <c r="DB22" i="1"/>
  <c r="CX22" i="1"/>
  <c r="CY22" i="1"/>
  <c r="DC22" i="1"/>
  <c r="CX57" i="1"/>
  <c r="DB57" i="1"/>
  <c r="CY57" i="1"/>
  <c r="DC57" i="1"/>
  <c r="CZ57" i="1"/>
  <c r="DA57" i="1"/>
  <c r="CX167" i="1"/>
  <c r="DB167" i="1"/>
  <c r="CY167" i="1"/>
  <c r="DC167" i="1"/>
  <c r="CZ167" i="1"/>
  <c r="DA167" i="1"/>
  <c r="CZ200" i="1"/>
  <c r="DB200" i="1"/>
  <c r="CY200" i="1"/>
  <c r="CX200" i="1"/>
  <c r="DC200" i="1"/>
  <c r="DA200" i="1"/>
  <c r="CZ100" i="1"/>
  <c r="CX100" i="1"/>
  <c r="DC100" i="1"/>
  <c r="CY100" i="1"/>
  <c r="DA100" i="1"/>
  <c r="DB100" i="1"/>
  <c r="CX261" i="1"/>
  <c r="DB261" i="1"/>
  <c r="CY261" i="1"/>
  <c r="CZ261" i="1"/>
  <c r="DA261" i="1"/>
  <c r="DC261" i="1"/>
  <c r="CX47" i="1"/>
  <c r="DB47" i="1"/>
  <c r="CY47" i="1"/>
  <c r="DC47" i="1"/>
  <c r="CZ47" i="1"/>
  <c r="DA47" i="1"/>
  <c r="CX247" i="1"/>
  <c r="DB247" i="1"/>
  <c r="DC247" i="1"/>
  <c r="CY247" i="1"/>
  <c r="CZ247" i="1"/>
  <c r="DA247" i="1"/>
  <c r="CZ56" i="1"/>
  <c r="DA56" i="1"/>
  <c r="CX56" i="1"/>
  <c r="CY56" i="1"/>
  <c r="DB56" i="1"/>
  <c r="DC56" i="1"/>
  <c r="CZ234" i="1"/>
  <c r="DA234" i="1"/>
  <c r="CX234" i="1"/>
  <c r="DB234" i="1"/>
  <c r="DC234" i="1"/>
  <c r="CY234" i="1"/>
  <c r="CZ198" i="1"/>
  <c r="CX198" i="1"/>
  <c r="DC198" i="1"/>
  <c r="DA198" i="1"/>
  <c r="CY198" i="1"/>
  <c r="DB198" i="1"/>
  <c r="CX35" i="1"/>
  <c r="DB35" i="1"/>
  <c r="DC35" i="1"/>
  <c r="CZ35" i="1"/>
  <c r="CY35" i="1"/>
  <c r="DA35" i="1"/>
  <c r="CX181" i="1"/>
  <c r="DB181" i="1"/>
  <c r="CY181" i="1"/>
  <c r="DA181" i="1"/>
  <c r="CZ181" i="1"/>
  <c r="DC181" i="1"/>
  <c r="CZ151" i="1"/>
  <c r="DA151" i="1"/>
  <c r="DB151" i="1"/>
  <c r="CX151" i="1"/>
  <c r="DC151" i="1"/>
  <c r="CY151" i="1"/>
  <c r="CZ156" i="1"/>
  <c r="DA156" i="1"/>
  <c r="CX156" i="1"/>
  <c r="DB156" i="1"/>
  <c r="CY156" i="1"/>
  <c r="DC156" i="1"/>
  <c r="CX177" i="1"/>
  <c r="DB177" i="1"/>
  <c r="CY177" i="1"/>
  <c r="DC177" i="1"/>
  <c r="CZ177" i="1"/>
  <c r="DA177" i="1"/>
  <c r="CX49" i="1"/>
  <c r="DB49" i="1"/>
  <c r="CY49" i="1"/>
  <c r="DC49" i="1"/>
  <c r="CZ49" i="1"/>
  <c r="DA49" i="1"/>
  <c r="CX251" i="1"/>
  <c r="DB251" i="1"/>
  <c r="CZ251" i="1"/>
  <c r="DC251" i="1"/>
  <c r="DA251" i="1"/>
  <c r="CY251" i="1"/>
  <c r="CX202" i="1"/>
  <c r="DB202" i="1"/>
  <c r="DC202" i="1"/>
  <c r="CZ202" i="1"/>
  <c r="CY202" i="1"/>
  <c r="DA202" i="1"/>
  <c r="CZ190" i="1"/>
  <c r="CX190" i="1"/>
  <c r="DC190" i="1"/>
  <c r="DA190" i="1"/>
  <c r="CY190" i="1"/>
  <c r="DB190" i="1"/>
  <c r="CV172" i="1"/>
  <c r="CZ172" i="1"/>
  <c r="DA172" i="1"/>
  <c r="CX172" i="1"/>
  <c r="DB172" i="1"/>
  <c r="CY172" i="1"/>
  <c r="DC172" i="1"/>
  <c r="CZ104" i="1"/>
  <c r="DA104" i="1"/>
  <c r="DB104" i="1"/>
  <c r="CX104" i="1"/>
  <c r="DC104" i="1"/>
  <c r="CY104" i="1"/>
  <c r="CZ206" i="1"/>
  <c r="CX206" i="1"/>
  <c r="DC206" i="1"/>
  <c r="CY206" i="1"/>
  <c r="DA206" i="1"/>
  <c r="DB206" i="1"/>
  <c r="DD182" i="1"/>
  <c r="CZ182" i="1"/>
  <c r="CX182" i="1"/>
  <c r="DC182" i="1"/>
  <c r="DA182" i="1"/>
  <c r="CY182" i="1"/>
  <c r="DB182" i="1"/>
  <c r="CZ160" i="1"/>
  <c r="DA160" i="1"/>
  <c r="CX160" i="1"/>
  <c r="DB160" i="1"/>
  <c r="CY160" i="1"/>
  <c r="DC160" i="1"/>
  <c r="DE40" i="1"/>
  <c r="CZ40" i="1"/>
  <c r="DA40" i="1"/>
  <c r="CX40" i="1"/>
  <c r="CY40" i="1"/>
  <c r="DB40" i="1"/>
  <c r="DC40" i="1"/>
  <c r="CZ267" i="1"/>
  <c r="CY267" i="1"/>
  <c r="DA267" i="1"/>
  <c r="DB267" i="1"/>
  <c r="CX267" i="1"/>
  <c r="DC267" i="1"/>
  <c r="CZ155" i="1"/>
  <c r="CY155" i="1"/>
  <c r="DB155" i="1"/>
  <c r="DA155" i="1"/>
  <c r="DC155" i="1"/>
  <c r="CX155" i="1"/>
  <c r="CX109" i="1"/>
  <c r="DB109" i="1"/>
  <c r="DC109" i="1"/>
  <c r="CY109" i="1"/>
  <c r="CZ109" i="1"/>
  <c r="DA109" i="1"/>
  <c r="CZ166" i="1"/>
  <c r="DA166" i="1"/>
  <c r="DB166" i="1"/>
  <c r="CX166" i="1"/>
  <c r="DC166" i="1"/>
  <c r="CY166" i="1"/>
  <c r="CZ208" i="1"/>
  <c r="DB208" i="1"/>
  <c r="CX208" i="1"/>
  <c r="DC208" i="1"/>
  <c r="CY208" i="1"/>
  <c r="DA208" i="1"/>
  <c r="CZ238" i="1"/>
  <c r="CX238" i="1"/>
  <c r="DC238" i="1"/>
  <c r="CY238" i="1"/>
  <c r="DA238" i="1"/>
  <c r="DB238" i="1"/>
  <c r="CZ240" i="1"/>
  <c r="DB240" i="1"/>
  <c r="CX240" i="1"/>
  <c r="DC240" i="1"/>
  <c r="CY240" i="1"/>
  <c r="DA240" i="1"/>
  <c r="CX152" i="1"/>
  <c r="DB152" i="1"/>
  <c r="CY152" i="1"/>
  <c r="DC152" i="1"/>
  <c r="CZ152" i="1"/>
  <c r="DA152" i="1"/>
  <c r="CX229" i="1"/>
  <c r="DB229" i="1"/>
  <c r="CY229" i="1"/>
  <c r="CZ229" i="1"/>
  <c r="DA229" i="1"/>
  <c r="DC229" i="1"/>
  <c r="CZ16" i="1"/>
  <c r="DA16" i="1"/>
  <c r="CX16" i="1"/>
  <c r="DB16" i="1"/>
  <c r="DC16" i="1"/>
  <c r="CY16" i="1"/>
  <c r="CX51" i="1"/>
  <c r="DB51" i="1"/>
  <c r="CY51" i="1"/>
  <c r="DC51" i="1"/>
  <c r="CZ51" i="1"/>
  <c r="DA51" i="1"/>
  <c r="DB101" i="1"/>
  <c r="DC101" i="1"/>
  <c r="CZ236" i="1"/>
  <c r="CY236" i="1"/>
  <c r="DA236" i="1"/>
  <c r="DB236" i="1"/>
  <c r="CX236" i="1"/>
  <c r="DC236" i="1"/>
  <c r="CX237" i="1"/>
  <c r="DB237" i="1"/>
  <c r="CY237" i="1"/>
  <c r="DA237" i="1"/>
  <c r="CZ237" i="1"/>
  <c r="DC237" i="1"/>
  <c r="CZ76" i="1"/>
  <c r="CX76" i="1"/>
  <c r="DC76" i="1"/>
  <c r="CY76" i="1"/>
  <c r="DA76" i="1"/>
  <c r="DB76" i="1"/>
  <c r="CZ248" i="1"/>
  <c r="DB248" i="1"/>
  <c r="CY248" i="1"/>
  <c r="CX248" i="1"/>
  <c r="DC248" i="1"/>
  <c r="DA248" i="1"/>
  <c r="CZ96" i="1"/>
  <c r="DA96" i="1"/>
  <c r="DB96" i="1"/>
  <c r="DC96" i="1"/>
  <c r="CX96" i="1"/>
  <c r="CY96" i="1"/>
  <c r="CZ153" i="1"/>
  <c r="CX153" i="1"/>
  <c r="DC153" i="1"/>
  <c r="CY153" i="1"/>
  <c r="DA153" i="1"/>
  <c r="DB153" i="1"/>
  <c r="CX73" i="1"/>
  <c r="DB73" i="1"/>
  <c r="CZ73" i="1"/>
  <c r="DA73" i="1"/>
  <c r="DC73" i="1"/>
  <c r="CY73" i="1"/>
  <c r="CZ142" i="1"/>
  <c r="DB142" i="1"/>
  <c r="CX142" i="1"/>
  <c r="DC142" i="1"/>
  <c r="CY142" i="1"/>
  <c r="DA142" i="1"/>
  <c r="CX143" i="1"/>
  <c r="DB143" i="1"/>
  <c r="DA143" i="1"/>
  <c r="DC143" i="1"/>
  <c r="CY143" i="1"/>
  <c r="CZ143" i="1"/>
  <c r="CX233" i="1"/>
  <c r="DB233" i="1"/>
  <c r="DA233" i="1"/>
  <c r="DC233" i="1"/>
  <c r="CY233" i="1"/>
  <c r="CZ233" i="1"/>
  <c r="CX133" i="1"/>
  <c r="DB133" i="1"/>
  <c r="DC133" i="1"/>
  <c r="CY133" i="1"/>
  <c r="CZ133" i="1"/>
  <c r="DA133" i="1"/>
  <c r="CX97" i="1"/>
  <c r="DB97" i="1"/>
  <c r="CZ97" i="1"/>
  <c r="DA97" i="1"/>
  <c r="DC97" i="1"/>
  <c r="CY97" i="1"/>
  <c r="CX271" i="1"/>
  <c r="DB271" i="1"/>
  <c r="DA271" i="1"/>
  <c r="CY271" i="1"/>
  <c r="DC271" i="1"/>
  <c r="CZ271" i="1"/>
  <c r="CZ110" i="1"/>
  <c r="DB110" i="1"/>
  <c r="CX110" i="1"/>
  <c r="DC110" i="1"/>
  <c r="CY110" i="1"/>
  <c r="DA110" i="1"/>
  <c r="CZ222" i="1"/>
  <c r="CX222" i="1"/>
  <c r="DC222" i="1"/>
  <c r="DA222" i="1"/>
  <c r="CY222" i="1"/>
  <c r="DB222" i="1"/>
  <c r="CZ67" i="1"/>
  <c r="DA67" i="1"/>
  <c r="DB67" i="1"/>
  <c r="CX67" i="1"/>
  <c r="DC67" i="1"/>
  <c r="CY67" i="1"/>
  <c r="CZ134" i="1"/>
  <c r="DB134" i="1"/>
  <c r="CX134" i="1"/>
  <c r="DC134" i="1"/>
  <c r="CY134" i="1"/>
  <c r="DA134" i="1"/>
  <c r="CZ42" i="1"/>
  <c r="DA42" i="1"/>
  <c r="DB42" i="1"/>
  <c r="CX42" i="1"/>
  <c r="CY42" i="1"/>
  <c r="DC42" i="1"/>
  <c r="CZ132" i="1"/>
  <c r="CX132" i="1"/>
  <c r="DC132" i="1"/>
  <c r="CY132" i="1"/>
  <c r="DA132" i="1"/>
  <c r="DB132" i="1"/>
  <c r="CX11" i="1"/>
  <c r="DB11" i="1"/>
  <c r="CY11" i="1"/>
  <c r="DC11" i="1"/>
  <c r="CZ11" i="1"/>
  <c r="DA11" i="1"/>
  <c r="CZ118" i="1"/>
  <c r="DB118" i="1"/>
  <c r="CX118" i="1"/>
  <c r="DC118" i="1"/>
  <c r="CY118" i="1"/>
  <c r="DA118" i="1"/>
  <c r="CZ38" i="1"/>
  <c r="DA38" i="1"/>
  <c r="DB38" i="1"/>
  <c r="CX38" i="1"/>
  <c r="CY38" i="1"/>
  <c r="DC38" i="1"/>
  <c r="CZ232" i="1"/>
  <c r="DB232" i="1"/>
  <c r="CY232" i="1"/>
  <c r="CX232" i="1"/>
  <c r="DC232" i="1"/>
  <c r="DA232" i="1"/>
  <c r="CZ54" i="1"/>
  <c r="DA54" i="1"/>
  <c r="DB54" i="1"/>
  <c r="CX54" i="1"/>
  <c r="CY54" i="1"/>
  <c r="DC54" i="1"/>
  <c r="CZ262" i="1"/>
  <c r="CX262" i="1"/>
  <c r="DC262" i="1"/>
  <c r="DA262" i="1"/>
  <c r="CY262" i="1"/>
  <c r="DB262" i="1"/>
  <c r="CZ68" i="1"/>
  <c r="CX68" i="1"/>
  <c r="DC68" i="1"/>
  <c r="CY68" i="1"/>
  <c r="DA68" i="1"/>
  <c r="DB68" i="1"/>
  <c r="CZ144" i="1"/>
  <c r="DA144" i="1"/>
  <c r="DB144" i="1"/>
  <c r="DC144" i="1"/>
  <c r="CX144" i="1"/>
  <c r="CY144" i="1"/>
  <c r="CX199" i="1"/>
  <c r="DB199" i="1"/>
  <c r="DC199" i="1"/>
  <c r="CY199" i="1"/>
  <c r="CZ199" i="1"/>
  <c r="DA199" i="1"/>
  <c r="CX7" i="1"/>
  <c r="DB7" i="1"/>
  <c r="CZ7" i="1"/>
  <c r="DA7" i="1"/>
  <c r="DC7" i="1"/>
  <c r="CY7" i="1"/>
  <c r="CX71" i="1"/>
  <c r="DB71" i="1"/>
  <c r="DA71" i="1"/>
  <c r="DC71" i="1"/>
  <c r="CY71" i="1"/>
  <c r="CZ71" i="1"/>
  <c r="CX29" i="1"/>
  <c r="DB29" i="1"/>
  <c r="CY29" i="1"/>
  <c r="DC29" i="1"/>
  <c r="CZ29" i="1"/>
  <c r="DA29" i="1"/>
  <c r="CX107" i="1"/>
  <c r="DB107" i="1"/>
  <c r="CY107" i="1"/>
  <c r="CZ107" i="1"/>
  <c r="DA107" i="1"/>
  <c r="DC107" i="1"/>
  <c r="CX269" i="1"/>
  <c r="DB269" i="1"/>
  <c r="DC269" i="1"/>
  <c r="CZ269" i="1"/>
  <c r="CY269" i="1"/>
  <c r="DA269" i="1"/>
  <c r="CX211" i="1"/>
  <c r="DB211" i="1"/>
  <c r="CZ211" i="1"/>
  <c r="DC211" i="1"/>
  <c r="DA211" i="1"/>
  <c r="CY211" i="1"/>
  <c r="CX165" i="1"/>
  <c r="DB165" i="1"/>
  <c r="CY165" i="1"/>
  <c r="DC165" i="1"/>
  <c r="CZ165" i="1"/>
  <c r="DA165" i="1"/>
  <c r="CZ255" i="1"/>
  <c r="DA255" i="1"/>
  <c r="CX255" i="1"/>
  <c r="DB255" i="1"/>
  <c r="DC255" i="1"/>
  <c r="CY255" i="1"/>
  <c r="CX183" i="1"/>
  <c r="DB183" i="1"/>
  <c r="DC183" i="1"/>
  <c r="CZ183" i="1"/>
  <c r="CY183" i="1"/>
  <c r="DA183" i="1"/>
  <c r="CX135" i="1"/>
  <c r="DB135" i="1"/>
  <c r="DA135" i="1"/>
  <c r="DC135" i="1"/>
  <c r="CY135" i="1"/>
  <c r="CZ135" i="1"/>
  <c r="CX197" i="1"/>
  <c r="DB197" i="1"/>
  <c r="CY197" i="1"/>
  <c r="DA197" i="1"/>
  <c r="CZ197" i="1"/>
  <c r="DC197" i="1"/>
  <c r="DD161" i="1"/>
  <c r="CX161" i="1"/>
  <c r="DB161" i="1"/>
  <c r="CY161" i="1"/>
  <c r="DC161" i="1"/>
  <c r="CZ161" i="1"/>
  <c r="DA161" i="1"/>
  <c r="CX129" i="1"/>
  <c r="DB129" i="1"/>
  <c r="CZ129" i="1"/>
  <c r="DA129" i="1"/>
  <c r="DC129" i="1"/>
  <c r="CY129" i="1"/>
  <c r="CV75" i="1"/>
  <c r="CX75" i="1"/>
  <c r="DB75" i="1"/>
  <c r="CY75" i="1"/>
  <c r="CZ75" i="1"/>
  <c r="DA75" i="1"/>
  <c r="DC75" i="1"/>
  <c r="CX25" i="1"/>
  <c r="DB25" i="1"/>
  <c r="CY25" i="1"/>
  <c r="DC25" i="1"/>
  <c r="CZ25" i="1"/>
  <c r="DA25" i="1"/>
  <c r="CZ158" i="1"/>
  <c r="DA158" i="1"/>
  <c r="DB158" i="1"/>
  <c r="CX158" i="1"/>
  <c r="DC158" i="1"/>
  <c r="CY158" i="1"/>
  <c r="CZ74" i="1"/>
  <c r="CY74" i="1"/>
  <c r="DA74" i="1"/>
  <c r="DB74" i="1"/>
  <c r="CX74" i="1"/>
  <c r="DC74" i="1"/>
  <c r="CX69" i="1"/>
  <c r="DB69" i="1"/>
  <c r="DC69" i="1"/>
  <c r="CY69" i="1"/>
  <c r="CZ69" i="1"/>
  <c r="DA69" i="1"/>
  <c r="CX87" i="1"/>
  <c r="DB87" i="1"/>
  <c r="DA87" i="1"/>
  <c r="DC87" i="1"/>
  <c r="CY87" i="1"/>
  <c r="CZ87" i="1"/>
  <c r="CZ86" i="1"/>
  <c r="DB86" i="1"/>
  <c r="CX86" i="1"/>
  <c r="DC86" i="1"/>
  <c r="CY86" i="1"/>
  <c r="DA86" i="1"/>
  <c r="CZ58" i="1"/>
  <c r="DA58" i="1"/>
  <c r="DB58" i="1"/>
  <c r="CX58" i="1"/>
  <c r="CY58" i="1"/>
  <c r="DC58" i="1"/>
  <c r="DB186" i="1"/>
  <c r="DC186" i="1"/>
  <c r="CX93" i="1"/>
  <c r="DB93" i="1"/>
  <c r="DC93" i="1"/>
  <c r="CY93" i="1"/>
  <c r="CZ93" i="1"/>
  <c r="DA93" i="1"/>
  <c r="CX189" i="1"/>
  <c r="DB189" i="1"/>
  <c r="CY189" i="1"/>
  <c r="DA189" i="1"/>
  <c r="CZ189" i="1"/>
  <c r="DC189" i="1"/>
  <c r="CZ230" i="1"/>
  <c r="CX230" i="1"/>
  <c r="DC230" i="1"/>
  <c r="DA230" i="1"/>
  <c r="CY230" i="1"/>
  <c r="DB230" i="1"/>
  <c r="CZ88" i="1"/>
  <c r="DA88" i="1"/>
  <c r="DB88" i="1"/>
  <c r="CX88" i="1"/>
  <c r="DC88" i="1"/>
  <c r="CY88" i="1"/>
  <c r="CX91" i="1"/>
  <c r="DB91" i="1"/>
  <c r="CY91" i="1"/>
  <c r="CZ91" i="1"/>
  <c r="DA91" i="1"/>
  <c r="DC91" i="1"/>
  <c r="CZ46" i="1"/>
  <c r="DA46" i="1"/>
  <c r="DB46" i="1"/>
  <c r="DC46" i="1"/>
  <c r="CX46" i="1"/>
  <c r="CY46" i="1"/>
  <c r="CX99" i="1"/>
  <c r="DB99" i="1"/>
  <c r="CY99" i="1"/>
  <c r="CZ99" i="1"/>
  <c r="DA99" i="1"/>
  <c r="DC99" i="1"/>
  <c r="CX215" i="1"/>
  <c r="DB215" i="1"/>
  <c r="DC215" i="1"/>
  <c r="CZ215" i="1"/>
  <c r="CY215" i="1"/>
  <c r="DA215" i="1"/>
  <c r="CZ24" i="1"/>
  <c r="DA24" i="1"/>
  <c r="CX24" i="1"/>
  <c r="CY24" i="1"/>
  <c r="DB24" i="1"/>
  <c r="DC24" i="1"/>
  <c r="CX221" i="1"/>
  <c r="DB221" i="1"/>
  <c r="CY221" i="1"/>
  <c r="CZ221" i="1"/>
  <c r="DA221" i="1"/>
  <c r="DC221" i="1"/>
  <c r="CX266" i="1"/>
  <c r="DB266" i="1"/>
  <c r="CZ266" i="1"/>
  <c r="DC266" i="1"/>
  <c r="DA266" i="1"/>
  <c r="CY266" i="1"/>
  <c r="CX85" i="1"/>
  <c r="DB85" i="1"/>
  <c r="DC85" i="1"/>
  <c r="CY85" i="1"/>
  <c r="CZ85" i="1"/>
  <c r="DA85" i="1"/>
  <c r="CZ26" i="1"/>
  <c r="DA26" i="1"/>
  <c r="DB26" i="1"/>
  <c r="CX26" i="1"/>
  <c r="CY26" i="1"/>
  <c r="DC26" i="1"/>
  <c r="CX55" i="1"/>
  <c r="DB55" i="1"/>
  <c r="CY55" i="1"/>
  <c r="DC55" i="1"/>
  <c r="DA55" i="1"/>
  <c r="CZ55" i="1"/>
  <c r="CX231" i="1"/>
  <c r="DB231" i="1"/>
  <c r="DC231" i="1"/>
  <c r="CY231" i="1"/>
  <c r="CZ231" i="1"/>
  <c r="DA231" i="1"/>
  <c r="CX249" i="1"/>
  <c r="DB249" i="1"/>
  <c r="DA249" i="1"/>
  <c r="DC249" i="1"/>
  <c r="CY249" i="1"/>
  <c r="CZ249" i="1"/>
  <c r="CU139" i="1"/>
  <c r="CX139" i="1"/>
  <c r="DB139" i="1"/>
  <c r="CY139" i="1"/>
  <c r="CZ139" i="1"/>
  <c r="DA139" i="1"/>
  <c r="DC139" i="1"/>
  <c r="CX268" i="1"/>
  <c r="DB268" i="1"/>
  <c r="CY268" i="1"/>
  <c r="DA268" i="1"/>
  <c r="CZ268" i="1"/>
  <c r="DC268" i="1"/>
  <c r="CZ126" i="1"/>
  <c r="DB126" i="1"/>
  <c r="CX126" i="1"/>
  <c r="DC126" i="1"/>
  <c r="CY126" i="1"/>
  <c r="DA126" i="1"/>
  <c r="CX179" i="1"/>
  <c r="DB179" i="1"/>
  <c r="CZ179" i="1"/>
  <c r="DC179" i="1"/>
  <c r="DA179" i="1"/>
  <c r="CY179" i="1"/>
  <c r="CX103" i="1"/>
  <c r="DB103" i="1"/>
  <c r="DA103" i="1"/>
  <c r="DC103" i="1"/>
  <c r="CY103" i="1"/>
  <c r="CZ103" i="1"/>
  <c r="CZ180" i="1"/>
  <c r="CX180" i="1"/>
  <c r="DC180" i="1"/>
  <c r="CY180" i="1"/>
  <c r="DA180" i="1"/>
  <c r="DB180" i="1"/>
  <c r="CX213" i="1"/>
  <c r="DB213" i="1"/>
  <c r="CY213" i="1"/>
  <c r="DA213" i="1"/>
  <c r="CZ213" i="1"/>
  <c r="DC213" i="1"/>
  <c r="CX149" i="1"/>
  <c r="DB149" i="1"/>
  <c r="DC149" i="1"/>
  <c r="CY149" i="1"/>
  <c r="CZ149" i="1"/>
  <c r="DA149" i="1"/>
  <c r="CZ188" i="1"/>
  <c r="CY188" i="1"/>
  <c r="DB188" i="1"/>
  <c r="DA188" i="1"/>
  <c r="CX188" i="1"/>
  <c r="DC188" i="1"/>
  <c r="CX117" i="1"/>
  <c r="DB117" i="1"/>
  <c r="DC117" i="1"/>
  <c r="CY117" i="1"/>
  <c r="CZ117" i="1"/>
  <c r="DA117" i="1"/>
  <c r="CZ106" i="1"/>
  <c r="CY106" i="1"/>
  <c r="DA106" i="1"/>
  <c r="DB106" i="1"/>
  <c r="CX106" i="1"/>
  <c r="DC106" i="1"/>
  <c r="CZ18" i="1"/>
  <c r="DA18" i="1"/>
  <c r="DB18" i="1"/>
  <c r="CY18" i="1"/>
  <c r="DC18" i="1"/>
  <c r="CX18" i="1"/>
  <c r="CZ60" i="1"/>
  <c r="DA60" i="1"/>
  <c r="CX60" i="1"/>
  <c r="DC60" i="1"/>
  <c r="CY60" i="1"/>
  <c r="DB60" i="1"/>
  <c r="CZ36" i="1"/>
  <c r="DA36" i="1"/>
  <c r="CX36" i="1"/>
  <c r="CY36" i="1"/>
  <c r="DB36" i="1"/>
  <c r="DC36" i="1"/>
  <c r="CZ120" i="1"/>
  <c r="DA120" i="1"/>
  <c r="CX120" i="1"/>
  <c r="DB120" i="1"/>
  <c r="CY120" i="1"/>
  <c r="DC120" i="1"/>
  <c r="CZ176" i="1"/>
  <c r="DA176" i="1"/>
  <c r="CX176" i="1"/>
  <c r="DB176" i="1"/>
  <c r="CY176" i="1"/>
  <c r="DC176" i="1"/>
  <c r="CX37" i="1"/>
  <c r="DB37" i="1"/>
  <c r="CY37" i="1"/>
  <c r="DC37" i="1"/>
  <c r="CZ37" i="1"/>
  <c r="DA37" i="1"/>
  <c r="CX243" i="1"/>
  <c r="DB243" i="1"/>
  <c r="CZ243" i="1"/>
  <c r="DA243" i="1"/>
  <c r="DC243" i="1"/>
  <c r="CY243" i="1"/>
  <c r="CZ212" i="1"/>
  <c r="CY212" i="1"/>
  <c r="DA212" i="1"/>
  <c r="DB212" i="1"/>
  <c r="DC212" i="1"/>
  <c r="CX212" i="1"/>
  <c r="CX90" i="1"/>
  <c r="DB90" i="1"/>
  <c r="CY90" i="1"/>
  <c r="DC90" i="1"/>
  <c r="CZ90" i="1"/>
  <c r="DA90" i="1"/>
  <c r="CX227" i="1"/>
  <c r="DB227" i="1"/>
  <c r="CZ227" i="1"/>
  <c r="DA227" i="1"/>
  <c r="DC227" i="1"/>
  <c r="CY227" i="1"/>
  <c r="CX203" i="1"/>
  <c r="DB203" i="1"/>
  <c r="CZ203" i="1"/>
  <c r="DC203" i="1"/>
  <c r="DA203" i="1"/>
  <c r="CY203" i="1"/>
  <c r="CX141" i="1"/>
  <c r="DB141" i="1"/>
  <c r="DC141" i="1"/>
  <c r="CY141" i="1"/>
  <c r="CZ141" i="1"/>
  <c r="DA141" i="1"/>
  <c r="CX41" i="1"/>
  <c r="DB41" i="1"/>
  <c r="CY41" i="1"/>
  <c r="DC41" i="1"/>
  <c r="CZ41" i="1"/>
  <c r="DA41" i="1"/>
  <c r="CZ192" i="1"/>
  <c r="DB192" i="1"/>
  <c r="CY192" i="1"/>
  <c r="CX192" i="1"/>
  <c r="DC192" i="1"/>
  <c r="DA192" i="1"/>
  <c r="CX169" i="1"/>
  <c r="DB169" i="1"/>
  <c r="CY169" i="1"/>
  <c r="DC169" i="1"/>
  <c r="CZ169" i="1"/>
  <c r="DA169" i="1"/>
  <c r="CZ224" i="1"/>
  <c r="DB224" i="1"/>
  <c r="CY224" i="1"/>
  <c r="CX224" i="1"/>
  <c r="DC224" i="1"/>
  <c r="DA224" i="1"/>
  <c r="CZ216" i="1"/>
  <c r="DB216" i="1"/>
  <c r="CX216" i="1"/>
  <c r="DC216" i="1"/>
  <c r="CY216" i="1"/>
  <c r="DA216" i="1"/>
  <c r="CX137" i="1"/>
  <c r="DB137" i="1"/>
  <c r="CZ137" i="1"/>
  <c r="DA137" i="1"/>
  <c r="DC137" i="1"/>
  <c r="CY137" i="1"/>
  <c r="CX223" i="1"/>
  <c r="DB223" i="1"/>
  <c r="DC223" i="1"/>
  <c r="CY223" i="1"/>
  <c r="CZ223" i="1"/>
  <c r="DA223" i="1"/>
  <c r="CX105" i="1"/>
  <c r="DB105" i="1"/>
  <c r="CZ105" i="1"/>
  <c r="DA105" i="1"/>
  <c r="DC105" i="1"/>
  <c r="CY105" i="1"/>
  <c r="CZ164" i="1"/>
  <c r="DA164" i="1"/>
  <c r="CX164" i="1"/>
  <c r="DB164" i="1"/>
  <c r="CY164" i="1"/>
  <c r="DC164" i="1"/>
  <c r="CZ44" i="1"/>
  <c r="DA44" i="1"/>
  <c r="CX44" i="1"/>
  <c r="DC44" i="1"/>
  <c r="CY44" i="1"/>
  <c r="DB44" i="1"/>
  <c r="CZ108" i="1"/>
  <c r="CX108" i="1"/>
  <c r="DC108" i="1"/>
  <c r="CY108" i="1"/>
  <c r="DA108" i="1"/>
  <c r="DB108" i="1"/>
  <c r="CZ168" i="1"/>
  <c r="DA168" i="1"/>
  <c r="CX168" i="1"/>
  <c r="DB168" i="1"/>
  <c r="CY168" i="1"/>
  <c r="DC168" i="1"/>
  <c r="CX259" i="1"/>
  <c r="DB259" i="1"/>
  <c r="CZ259" i="1"/>
  <c r="DA259" i="1"/>
  <c r="DC259" i="1"/>
  <c r="CY259" i="1"/>
  <c r="CZ82" i="1"/>
  <c r="CY82" i="1"/>
  <c r="DA82" i="1"/>
  <c r="DB82" i="1"/>
  <c r="DC82" i="1"/>
  <c r="CX82" i="1"/>
  <c r="CZ163" i="1"/>
  <c r="CY163" i="1"/>
  <c r="DA163" i="1"/>
  <c r="DB163" i="1"/>
  <c r="CX163" i="1"/>
  <c r="DC163" i="1"/>
  <c r="CZ50" i="1"/>
  <c r="DA50" i="1"/>
  <c r="DB50" i="1"/>
  <c r="CY50" i="1"/>
  <c r="DC50" i="1"/>
  <c r="CX50" i="1"/>
  <c r="CX115" i="1"/>
  <c r="DB115" i="1"/>
  <c r="CY115" i="1"/>
  <c r="CZ115" i="1"/>
  <c r="DA115" i="1"/>
  <c r="DC115" i="1"/>
  <c r="CX123" i="1"/>
  <c r="DB123" i="1"/>
  <c r="CY123" i="1"/>
  <c r="CZ123" i="1"/>
  <c r="DA123" i="1"/>
  <c r="DC123" i="1"/>
  <c r="CX45" i="1"/>
  <c r="DB45" i="1"/>
  <c r="CY45" i="1"/>
  <c r="DC45" i="1"/>
  <c r="CZ45" i="1"/>
  <c r="DA45" i="1"/>
  <c r="CZ148" i="1"/>
  <c r="CX148" i="1"/>
  <c r="DC148" i="1"/>
  <c r="CY148" i="1"/>
  <c r="DA148" i="1"/>
  <c r="DB148" i="1"/>
  <c r="CX253" i="1"/>
  <c r="DB253" i="1"/>
  <c r="CY253" i="1"/>
  <c r="DA253" i="1"/>
  <c r="CZ253" i="1"/>
  <c r="DC253" i="1"/>
  <c r="CZ244" i="1"/>
  <c r="CY244" i="1"/>
  <c r="DB244" i="1"/>
  <c r="DA244" i="1"/>
  <c r="DC244" i="1"/>
  <c r="CX244" i="1"/>
  <c r="CX125" i="1"/>
  <c r="DB125" i="1"/>
  <c r="DC125" i="1"/>
  <c r="CY125" i="1"/>
  <c r="CZ125" i="1"/>
  <c r="DA125" i="1"/>
  <c r="CX121" i="1"/>
  <c r="DB121" i="1"/>
  <c r="CY121" i="1"/>
  <c r="CZ121" i="1"/>
  <c r="DA121" i="1"/>
  <c r="DC121" i="1"/>
  <c r="CX185" i="1"/>
  <c r="DB185" i="1"/>
  <c r="DA185" i="1"/>
  <c r="CY185" i="1"/>
  <c r="DC185" i="1"/>
  <c r="CZ185" i="1"/>
  <c r="CX70" i="1"/>
  <c r="DB70" i="1"/>
  <c r="CZ70" i="1"/>
  <c r="DA70" i="1"/>
  <c r="DC70" i="1"/>
  <c r="CY70" i="1"/>
  <c r="CZ146" i="1"/>
  <c r="CY146" i="1"/>
  <c r="DA146" i="1"/>
  <c r="DB146" i="1"/>
  <c r="DC146" i="1"/>
  <c r="CX146" i="1"/>
  <c r="CZ78" i="1"/>
  <c r="DB78" i="1"/>
  <c r="CX78" i="1"/>
  <c r="DC78" i="1"/>
  <c r="CY78" i="1"/>
  <c r="DA78" i="1"/>
  <c r="CX205" i="1"/>
  <c r="DB205" i="1"/>
  <c r="CY205" i="1"/>
  <c r="DA205" i="1"/>
  <c r="CZ205" i="1"/>
  <c r="DC205" i="1"/>
  <c r="CZ19" i="1"/>
  <c r="DA19" i="1"/>
  <c r="CX19" i="1"/>
  <c r="DC19" i="1"/>
  <c r="DB19" i="1"/>
  <c r="CY19" i="1"/>
  <c r="CX187" i="1"/>
  <c r="DB187" i="1"/>
  <c r="CZ187" i="1"/>
  <c r="DC187" i="1"/>
  <c r="DA187" i="1"/>
  <c r="CY187" i="1"/>
  <c r="CX17" i="1"/>
  <c r="DB17" i="1"/>
  <c r="CY17" i="1"/>
  <c r="DC17" i="1"/>
  <c r="CZ17" i="1"/>
  <c r="DA17" i="1"/>
  <c r="CZ94" i="1"/>
  <c r="DB94" i="1"/>
  <c r="CX94" i="1"/>
  <c r="DC94" i="1"/>
  <c r="CY94" i="1"/>
  <c r="DA94" i="1"/>
  <c r="CZ80" i="1"/>
  <c r="DA80" i="1"/>
  <c r="DB80" i="1"/>
  <c r="DC80" i="1"/>
  <c r="CX80" i="1"/>
  <c r="CY80" i="1"/>
  <c r="CX39" i="1"/>
  <c r="DB39" i="1"/>
  <c r="CY39" i="1"/>
  <c r="DC39" i="1"/>
  <c r="DA39" i="1"/>
  <c r="CZ39" i="1"/>
  <c r="CX193" i="1"/>
  <c r="DB193" i="1"/>
  <c r="DA193" i="1"/>
  <c r="CY193" i="1"/>
  <c r="DC193" i="1"/>
  <c r="CZ193" i="1"/>
  <c r="CZ220" i="1"/>
  <c r="CY220" i="1"/>
  <c r="DB220" i="1"/>
  <c r="DA220" i="1"/>
  <c r="CX220" i="1"/>
  <c r="DC220" i="1"/>
  <c r="CZ89" i="1"/>
  <c r="CY89" i="1"/>
  <c r="DA89" i="1"/>
  <c r="DB89" i="1"/>
  <c r="DC89" i="1"/>
  <c r="CX89" i="1"/>
  <c r="CZ254" i="1"/>
  <c r="CX254" i="1"/>
  <c r="DC254" i="1"/>
  <c r="CY254" i="1"/>
  <c r="DA254" i="1"/>
  <c r="DB254" i="1"/>
  <c r="CV242" i="1"/>
  <c r="CX83" i="1"/>
  <c r="DB83" i="1"/>
  <c r="CY83" i="1"/>
  <c r="CZ83" i="1"/>
  <c r="DA83" i="1"/>
  <c r="DC83" i="1"/>
  <c r="CZ84" i="1"/>
  <c r="CX84" i="1"/>
  <c r="DC84" i="1"/>
  <c r="CY84" i="1"/>
  <c r="DA84" i="1"/>
  <c r="DB84" i="1"/>
  <c r="CZ228" i="1"/>
  <c r="CY228" i="1"/>
  <c r="DB228" i="1"/>
  <c r="DA228" i="1"/>
  <c r="DC228" i="1"/>
  <c r="CX228" i="1"/>
  <c r="CZ174" i="1"/>
  <c r="DA174" i="1"/>
  <c r="DB174" i="1"/>
  <c r="CX174" i="1"/>
  <c r="DC174" i="1"/>
  <c r="CY174" i="1"/>
  <c r="CZ170" i="1"/>
  <c r="DA170" i="1"/>
  <c r="DB170" i="1"/>
  <c r="CX170" i="1"/>
  <c r="DC170" i="1"/>
  <c r="CY170" i="1"/>
  <c r="CZ98" i="1"/>
  <c r="CY98" i="1"/>
  <c r="DA98" i="1"/>
  <c r="DB98" i="1"/>
  <c r="DC98" i="1"/>
  <c r="CX98" i="1"/>
  <c r="CX195" i="1"/>
  <c r="DB195" i="1"/>
  <c r="CZ195" i="1"/>
  <c r="DC195" i="1"/>
  <c r="DA195" i="1"/>
  <c r="CY195" i="1"/>
  <c r="CX14" i="1"/>
  <c r="DB14" i="1"/>
  <c r="DA14" i="1"/>
  <c r="DC14" i="1"/>
  <c r="CY14" i="1"/>
  <c r="CZ14" i="1"/>
  <c r="CX263" i="1"/>
  <c r="DB263" i="1"/>
  <c r="DC263" i="1"/>
  <c r="CY263" i="1"/>
  <c r="CZ263" i="1"/>
  <c r="DA263" i="1"/>
  <c r="CX225" i="1"/>
  <c r="DB225" i="1"/>
  <c r="DA225" i="1"/>
  <c r="DC225" i="1"/>
  <c r="CY225" i="1"/>
  <c r="CZ225" i="1"/>
  <c r="CX81" i="1"/>
  <c r="DB81" i="1"/>
  <c r="CZ81" i="1"/>
  <c r="DA81" i="1"/>
  <c r="DC81" i="1"/>
  <c r="CY81" i="1"/>
  <c r="CZ72" i="1"/>
  <c r="DA72" i="1"/>
  <c r="DB72" i="1"/>
  <c r="CX72" i="1"/>
  <c r="DC72" i="1"/>
  <c r="CY72" i="1"/>
  <c r="CZ204" i="1"/>
  <c r="CY204" i="1"/>
  <c r="DA204" i="1"/>
  <c r="DB204" i="1"/>
  <c r="CX204" i="1"/>
  <c r="DC204" i="1"/>
  <c r="CZ150" i="1"/>
  <c r="DB150" i="1"/>
  <c r="CX150" i="1"/>
  <c r="DC150" i="1"/>
  <c r="CY150" i="1"/>
  <c r="DA150" i="1"/>
  <c r="CX173" i="1"/>
  <c r="DB173" i="1"/>
  <c r="CY173" i="1"/>
  <c r="DC173" i="1"/>
  <c r="CZ173" i="1"/>
  <c r="DA173" i="1"/>
  <c r="CZ226" i="1"/>
  <c r="DA226" i="1"/>
  <c r="CX226" i="1"/>
  <c r="DC226" i="1"/>
  <c r="DB226" i="1"/>
  <c r="CY226" i="1"/>
  <c r="CZ138" i="1"/>
  <c r="CY138" i="1"/>
  <c r="DA138" i="1"/>
  <c r="DB138" i="1"/>
  <c r="CX138" i="1"/>
  <c r="DC138" i="1"/>
  <c r="CZ52" i="1"/>
  <c r="DA52" i="1"/>
  <c r="CX52" i="1"/>
  <c r="CY52" i="1"/>
  <c r="DB52" i="1"/>
  <c r="DC52" i="1"/>
  <c r="CX175" i="1"/>
  <c r="DB175" i="1"/>
  <c r="CY175" i="1"/>
  <c r="DC175" i="1"/>
  <c r="CZ175" i="1"/>
  <c r="DA175" i="1"/>
  <c r="DD140" i="1"/>
  <c r="CZ140" i="1"/>
  <c r="CX140" i="1"/>
  <c r="DC140" i="1"/>
  <c r="CY140" i="1"/>
  <c r="DA140" i="1"/>
  <c r="DB140" i="1"/>
  <c r="DA66" i="1"/>
  <c r="CY66" i="1"/>
  <c r="CX66" i="1"/>
  <c r="CZ66" i="1"/>
  <c r="DB66" i="1"/>
  <c r="DC66" i="1"/>
  <c r="CZ194" i="1"/>
  <c r="DA194" i="1"/>
  <c r="DC194" i="1"/>
  <c r="DB194" i="1"/>
  <c r="CX194" i="1"/>
  <c r="CY194" i="1"/>
  <c r="CZ252" i="1"/>
  <c r="CY252" i="1"/>
  <c r="DA252" i="1"/>
  <c r="DB252" i="1"/>
  <c r="CX252" i="1"/>
  <c r="DC252" i="1"/>
  <c r="DC8" i="1"/>
  <c r="CY8" i="1"/>
  <c r="CZ8" i="1"/>
  <c r="DB8" i="1"/>
  <c r="CX8" i="1"/>
  <c r="DA8" i="1"/>
  <c r="CW194" i="1"/>
  <c r="DF267" i="1"/>
  <c r="DE267" i="1"/>
  <c r="CV52" i="1"/>
  <c r="DD194" i="1"/>
  <c r="DE66" i="1"/>
  <c r="CV252" i="1"/>
  <c r="CV175" i="1"/>
  <c r="CW66" i="1"/>
  <c r="CU140" i="1"/>
  <c r="CU194" i="1"/>
  <c r="CU52" i="1"/>
  <c r="DF140" i="1"/>
  <c r="DD25" i="1"/>
  <c r="DD52" i="1"/>
  <c r="DF175" i="1"/>
  <c r="CW175" i="1"/>
  <c r="CV66" i="1"/>
  <c r="CV140" i="1"/>
  <c r="CU252" i="1"/>
  <c r="CV194" i="1"/>
  <c r="CW52" i="1"/>
  <c r="CV25" i="1"/>
  <c r="DD66" i="1"/>
  <c r="DE252" i="1"/>
  <c r="CV161" i="1"/>
  <c r="CU75" i="1"/>
  <c r="CW158" i="1"/>
  <c r="DE158" i="1"/>
  <c r="CU242" i="1"/>
  <c r="DD242" i="1"/>
  <c r="CW242" i="1"/>
  <c r="DF242" i="1"/>
  <c r="DF52" i="1"/>
  <c r="DE140" i="1"/>
  <c r="DE175" i="1"/>
  <c r="DF194" i="1"/>
  <c r="DD252" i="1"/>
  <c r="DE52" i="1"/>
  <c r="DD175" i="1"/>
  <c r="DE194" i="1"/>
  <c r="DF66" i="1"/>
  <c r="DF252" i="1"/>
  <c r="CV160" i="1"/>
  <c r="CW104" i="1"/>
  <c r="DE182" i="1"/>
  <c r="CV182" i="1"/>
  <c r="DE206" i="1"/>
  <c r="DD104" i="1"/>
  <c r="CW40" i="1"/>
  <c r="CW129" i="1"/>
  <c r="CU182" i="1"/>
  <c r="CU25" i="1"/>
  <c r="CV158" i="1"/>
  <c r="CV206" i="1"/>
  <c r="DF25" i="1"/>
  <c r="DD129" i="1"/>
  <c r="DD158" i="1"/>
  <c r="DD40" i="1"/>
  <c r="CW160" i="1"/>
  <c r="CW25" i="1"/>
  <c r="CU158" i="1"/>
  <c r="CU104" i="1"/>
  <c r="CU206" i="1"/>
  <c r="DE25" i="1"/>
  <c r="DF158" i="1"/>
  <c r="DD75" i="1"/>
  <c r="CV34" i="1"/>
  <c r="DE34" i="1"/>
  <c r="CU34" i="1"/>
  <c r="CV40" i="1"/>
  <c r="CU160" i="1"/>
  <c r="CV63" i="1"/>
  <c r="DF40" i="1"/>
  <c r="DD63" i="1"/>
  <c r="DD34" i="1"/>
  <c r="CW34" i="1"/>
  <c r="CU40" i="1"/>
  <c r="CW182" i="1"/>
  <c r="CV104" i="1"/>
  <c r="CW206" i="1"/>
  <c r="DF182" i="1"/>
  <c r="DD160" i="1"/>
  <c r="DF34" i="1"/>
  <c r="DF104" i="1"/>
  <c r="CW139" i="1"/>
  <c r="DD139" i="1"/>
  <c r="DE48" i="1"/>
  <c r="CV48" i="1"/>
  <c r="DD10" i="1"/>
  <c r="CU48" i="1"/>
  <c r="CV139" i="1"/>
  <c r="CU63" i="1"/>
  <c r="DF139" i="1"/>
  <c r="DF63" i="1"/>
  <c r="DF48" i="1"/>
  <c r="CW63" i="1"/>
  <c r="DE139" i="1"/>
  <c r="DE63" i="1"/>
  <c r="DD48" i="1"/>
  <c r="DD206" i="1"/>
  <c r="DE10" i="1"/>
  <c r="DF160" i="1"/>
  <c r="CU10" i="1"/>
  <c r="CV10" i="1"/>
  <c r="CW48" i="1"/>
  <c r="DF206" i="1"/>
  <c r="DF10" i="1"/>
  <c r="DE160" i="1"/>
  <c r="DE104" i="1"/>
  <c r="CV129" i="1"/>
  <c r="CU161" i="1"/>
  <c r="CW197" i="1"/>
  <c r="CW75" i="1"/>
  <c r="DF129" i="1"/>
  <c r="DE161" i="1"/>
  <c r="DE197" i="1"/>
  <c r="DF75" i="1"/>
  <c r="CV197" i="1"/>
  <c r="DE129" i="1"/>
  <c r="DF161" i="1"/>
  <c r="DF197" i="1"/>
  <c r="DE75" i="1"/>
  <c r="CU129" i="1"/>
  <c r="CW161" i="1"/>
  <c r="CU197" i="1"/>
  <c r="DD197" i="1"/>
  <c r="CU172" i="1"/>
  <c r="CW138" i="1"/>
  <c r="CV135" i="1"/>
  <c r="CV14" i="1"/>
  <c r="CW81" i="1"/>
  <c r="CW150" i="1"/>
  <c r="CV173" i="1"/>
  <c r="CU138" i="1"/>
  <c r="CV138" i="1"/>
  <c r="DE270" i="1"/>
  <c r="DF270" i="1"/>
  <c r="DD270" i="1"/>
  <c r="DD20" i="1"/>
  <c r="DE20" i="1"/>
  <c r="DF20" i="1"/>
  <c r="DD74" i="1"/>
  <c r="DE74" i="1"/>
  <c r="DF74" i="1"/>
  <c r="DE109" i="1"/>
  <c r="DF109" i="1"/>
  <c r="DD109" i="1"/>
  <c r="DD92" i="1"/>
  <c r="DE92" i="1"/>
  <c r="DF92" i="1"/>
  <c r="DE111" i="1"/>
  <c r="DF111" i="1"/>
  <c r="DD111" i="1"/>
  <c r="DD136" i="1"/>
  <c r="DE136" i="1"/>
  <c r="DF136" i="1"/>
  <c r="DE256" i="1"/>
  <c r="DF256" i="1"/>
  <c r="DD256" i="1"/>
  <c r="DE45" i="1"/>
  <c r="DF45" i="1"/>
  <c r="DD45" i="1"/>
  <c r="DE125" i="1"/>
  <c r="DF125" i="1"/>
  <c r="DD125" i="1"/>
  <c r="DE70" i="1"/>
  <c r="DF70" i="1"/>
  <c r="DD70" i="1"/>
  <c r="DD78" i="1"/>
  <c r="DE78" i="1"/>
  <c r="DF78" i="1"/>
  <c r="DD187" i="1"/>
  <c r="DE187" i="1"/>
  <c r="DF187" i="1"/>
  <c r="DE17" i="1"/>
  <c r="DF17" i="1"/>
  <c r="DD17" i="1"/>
  <c r="DE39" i="1"/>
  <c r="DF39" i="1"/>
  <c r="DD39" i="1"/>
  <c r="DE220" i="1"/>
  <c r="DF220" i="1"/>
  <c r="DD220" i="1"/>
  <c r="DD8" i="1"/>
  <c r="DE8" i="1"/>
  <c r="DF8" i="1"/>
  <c r="DD144" i="1"/>
  <c r="DE144" i="1"/>
  <c r="DF144" i="1"/>
  <c r="DE71" i="1"/>
  <c r="DF71" i="1"/>
  <c r="DD71" i="1"/>
  <c r="DE107" i="1"/>
  <c r="DF107" i="1"/>
  <c r="DD107" i="1"/>
  <c r="DE255" i="1"/>
  <c r="DF255" i="1"/>
  <c r="DD255" i="1"/>
  <c r="DE135" i="1"/>
  <c r="DF135" i="1"/>
  <c r="DD135" i="1"/>
  <c r="DE178" i="1"/>
  <c r="DF178" i="1"/>
  <c r="DD178" i="1"/>
  <c r="DD116" i="1"/>
  <c r="DE116" i="1"/>
  <c r="DF116" i="1"/>
  <c r="DE21" i="1"/>
  <c r="DF21" i="1"/>
  <c r="DD21" i="1"/>
  <c r="DE218" i="1"/>
  <c r="DF218" i="1"/>
  <c r="DD218" i="1"/>
  <c r="DD12" i="1"/>
  <c r="DE12" i="1"/>
  <c r="DF12" i="1"/>
  <c r="DE260" i="1"/>
  <c r="DF260" i="1"/>
  <c r="DD260" i="1"/>
  <c r="DD30" i="1"/>
  <c r="DE30" i="1"/>
  <c r="DF30" i="1"/>
  <c r="DD159" i="1"/>
  <c r="DE159" i="1"/>
  <c r="DF159" i="1"/>
  <c r="DE246" i="1"/>
  <c r="DF246" i="1"/>
  <c r="DD246" i="1"/>
  <c r="DD201" i="1"/>
  <c r="DF201" i="1"/>
  <c r="DE201" i="1"/>
  <c r="DE31" i="1"/>
  <c r="DF31" i="1"/>
  <c r="DD31" i="1"/>
  <c r="DE15" i="1"/>
  <c r="DF15" i="1"/>
  <c r="DD15" i="1"/>
  <c r="DE43" i="1"/>
  <c r="DF43" i="1"/>
  <c r="DD43" i="1"/>
  <c r="DD102" i="1"/>
  <c r="DE102" i="1"/>
  <c r="DF102" i="1"/>
  <c r="DD217" i="1"/>
  <c r="DF217" i="1"/>
  <c r="DE217" i="1"/>
  <c r="DD235" i="1"/>
  <c r="DE235" i="1"/>
  <c r="DF235" i="1"/>
  <c r="DE33" i="1"/>
  <c r="DF33" i="1"/>
  <c r="DD33" i="1"/>
  <c r="DD157" i="1"/>
  <c r="DF157" i="1"/>
  <c r="DE157" i="1"/>
  <c r="DE196" i="1"/>
  <c r="DF196" i="1"/>
  <c r="DD196" i="1"/>
  <c r="DD32" i="1"/>
  <c r="DE32" i="1"/>
  <c r="DF32" i="1"/>
  <c r="DE238" i="1"/>
  <c r="DF238" i="1"/>
  <c r="DD238" i="1"/>
  <c r="DD28" i="1"/>
  <c r="DE28" i="1"/>
  <c r="DF28" i="1"/>
  <c r="DE230" i="1"/>
  <c r="DF230" i="1"/>
  <c r="DD230" i="1"/>
  <c r="DE147" i="1"/>
  <c r="DF147" i="1"/>
  <c r="DD147" i="1"/>
  <c r="DD88" i="1"/>
  <c r="DF88" i="1"/>
  <c r="DE88" i="1"/>
  <c r="DE240" i="1"/>
  <c r="DF240" i="1"/>
  <c r="DD240" i="1"/>
  <c r="DE145" i="1"/>
  <c r="DF145" i="1"/>
  <c r="DD145" i="1"/>
  <c r="DE91" i="1"/>
  <c r="DF91" i="1"/>
  <c r="DD91" i="1"/>
  <c r="DE59" i="1"/>
  <c r="DF59" i="1"/>
  <c r="DD59" i="1"/>
  <c r="DD152" i="1"/>
  <c r="DE152" i="1"/>
  <c r="DF152" i="1"/>
  <c r="DD46" i="1"/>
  <c r="DE46" i="1"/>
  <c r="DF46" i="1"/>
  <c r="DD122" i="1"/>
  <c r="DE122" i="1"/>
  <c r="DF122" i="1"/>
  <c r="DE99" i="1"/>
  <c r="DF99" i="1"/>
  <c r="DD99" i="1"/>
  <c r="DD241" i="1"/>
  <c r="DF241" i="1"/>
  <c r="DE241" i="1"/>
  <c r="DD229" i="1"/>
  <c r="DF229" i="1"/>
  <c r="DE229" i="1"/>
  <c r="DD215" i="1"/>
  <c r="DE215" i="1"/>
  <c r="DF215" i="1"/>
  <c r="DD239" i="1"/>
  <c r="DE239" i="1"/>
  <c r="DF239" i="1"/>
  <c r="DD16" i="1"/>
  <c r="DE16" i="1"/>
  <c r="DF16" i="1"/>
  <c r="DD24" i="1"/>
  <c r="DE24" i="1"/>
  <c r="DF24" i="1"/>
  <c r="DD184" i="1"/>
  <c r="DE184" i="1"/>
  <c r="DF184" i="1"/>
  <c r="DD221" i="1"/>
  <c r="DF221" i="1"/>
  <c r="DE221" i="1"/>
  <c r="DE83" i="1"/>
  <c r="DF83" i="1"/>
  <c r="DD83" i="1"/>
  <c r="DD84" i="1"/>
  <c r="DE84" i="1"/>
  <c r="DF84" i="1"/>
  <c r="DE228" i="1"/>
  <c r="DF228" i="1"/>
  <c r="DD228" i="1"/>
  <c r="DE174" i="1"/>
  <c r="DF174" i="1"/>
  <c r="DD174" i="1"/>
  <c r="DE170" i="1"/>
  <c r="DF170" i="1"/>
  <c r="DD170" i="1"/>
  <c r="DD98" i="1"/>
  <c r="DE98" i="1"/>
  <c r="DF98" i="1"/>
  <c r="DD195" i="1"/>
  <c r="DE195" i="1"/>
  <c r="DF195" i="1"/>
  <c r="DE14" i="1"/>
  <c r="DF14" i="1"/>
  <c r="DD14" i="1"/>
  <c r="DD263" i="1"/>
  <c r="DE263" i="1"/>
  <c r="DF263" i="1"/>
  <c r="DD225" i="1"/>
  <c r="DF225" i="1"/>
  <c r="DE225" i="1"/>
  <c r="DE81" i="1"/>
  <c r="DF81" i="1"/>
  <c r="DD81" i="1"/>
  <c r="DD72" i="1"/>
  <c r="DF72" i="1"/>
  <c r="DE72" i="1"/>
  <c r="DE204" i="1"/>
  <c r="DF204" i="1"/>
  <c r="DD204" i="1"/>
  <c r="DD150" i="1"/>
  <c r="DF150" i="1"/>
  <c r="DE150" i="1"/>
  <c r="DD173" i="1"/>
  <c r="DF173" i="1"/>
  <c r="DE173" i="1"/>
  <c r="DE226" i="1"/>
  <c r="DF226" i="1"/>
  <c r="DD226" i="1"/>
  <c r="DD138" i="1"/>
  <c r="DF138" i="1"/>
  <c r="DE138" i="1"/>
  <c r="DD219" i="1"/>
  <c r="DE219" i="1"/>
  <c r="DF219" i="1"/>
  <c r="DE87" i="1"/>
  <c r="DF87" i="1"/>
  <c r="DD87" i="1"/>
  <c r="DD86" i="1"/>
  <c r="DE86" i="1"/>
  <c r="DF86" i="1"/>
  <c r="DE53" i="1"/>
  <c r="DF53" i="1"/>
  <c r="DD53" i="1"/>
  <c r="DE93" i="1"/>
  <c r="DF93" i="1"/>
  <c r="DD93" i="1"/>
  <c r="DD253" i="1"/>
  <c r="DF253" i="1"/>
  <c r="DE253" i="1"/>
  <c r="DE121" i="1"/>
  <c r="DF121" i="1"/>
  <c r="DD121" i="1"/>
  <c r="DD205" i="1"/>
  <c r="DF205" i="1"/>
  <c r="DE205" i="1"/>
  <c r="DD80" i="1"/>
  <c r="DF80" i="1"/>
  <c r="DE80" i="1"/>
  <c r="DD89" i="1"/>
  <c r="DE89" i="1"/>
  <c r="DF89" i="1"/>
  <c r="DE262" i="1"/>
  <c r="DF262" i="1"/>
  <c r="DD262" i="1"/>
  <c r="DE7" i="1"/>
  <c r="DF7" i="1"/>
  <c r="DD7" i="1"/>
  <c r="DD211" i="1"/>
  <c r="DE211" i="1"/>
  <c r="DF211" i="1"/>
  <c r="DD126" i="1"/>
  <c r="DF126" i="1"/>
  <c r="DE126" i="1"/>
  <c r="DE103" i="1"/>
  <c r="DF103" i="1"/>
  <c r="DD103" i="1"/>
  <c r="DD96" i="1"/>
  <c r="DF96" i="1"/>
  <c r="DE96" i="1"/>
  <c r="DD153" i="1"/>
  <c r="DE153" i="1"/>
  <c r="DF153" i="1"/>
  <c r="DE73" i="1"/>
  <c r="DF73" i="1"/>
  <c r="DD73" i="1"/>
  <c r="DE120" i="1"/>
  <c r="DF120" i="1"/>
  <c r="DD120" i="1"/>
  <c r="DE176" i="1"/>
  <c r="DF176" i="1"/>
  <c r="DD176" i="1"/>
  <c r="DE27" i="1"/>
  <c r="DF27" i="1"/>
  <c r="DD27" i="1"/>
  <c r="DE214" i="1"/>
  <c r="DF214" i="1"/>
  <c r="DD214" i="1"/>
  <c r="DE9" i="1"/>
  <c r="DF9" i="1"/>
  <c r="DD9" i="1"/>
  <c r="DE265" i="1"/>
  <c r="DF265" i="1"/>
  <c r="DD265" i="1"/>
  <c r="DE61" i="1"/>
  <c r="DF61" i="1"/>
  <c r="DD61" i="1"/>
  <c r="DD62" i="1"/>
  <c r="DE62" i="1"/>
  <c r="DF62" i="1"/>
  <c r="DD65" i="1"/>
  <c r="DE65" i="1"/>
  <c r="DF65" i="1"/>
  <c r="DD114" i="1"/>
  <c r="DF114" i="1"/>
  <c r="DE114" i="1"/>
  <c r="DD245" i="1"/>
  <c r="DF245" i="1"/>
  <c r="DE245" i="1"/>
  <c r="DE119" i="1"/>
  <c r="DF119" i="1"/>
  <c r="DD119" i="1"/>
  <c r="DD128" i="1"/>
  <c r="DE128" i="1"/>
  <c r="DF128" i="1"/>
  <c r="DE23" i="1"/>
  <c r="DF23" i="1"/>
  <c r="DD23" i="1"/>
  <c r="DD207" i="1"/>
  <c r="DE207" i="1"/>
  <c r="DF207" i="1"/>
  <c r="DD22" i="1"/>
  <c r="DE22" i="1"/>
  <c r="DF22" i="1"/>
  <c r="DE57" i="1"/>
  <c r="DF57" i="1"/>
  <c r="DD57" i="1"/>
  <c r="DD167" i="1"/>
  <c r="DE167" i="1"/>
  <c r="DF167" i="1"/>
  <c r="DE200" i="1"/>
  <c r="DF200" i="1"/>
  <c r="DD200" i="1"/>
  <c r="DD100" i="1"/>
  <c r="DE100" i="1"/>
  <c r="DF100" i="1"/>
  <c r="DE51" i="1"/>
  <c r="DF51" i="1"/>
  <c r="DD51" i="1"/>
  <c r="DD266" i="1"/>
  <c r="DE266" i="1"/>
  <c r="DF266" i="1"/>
  <c r="DD130" i="1"/>
  <c r="DF130" i="1"/>
  <c r="DE130" i="1"/>
  <c r="DE101" i="1"/>
  <c r="DF101" i="1"/>
  <c r="DD101" i="1"/>
  <c r="DD64" i="1"/>
  <c r="DF64" i="1"/>
  <c r="DE64" i="1"/>
  <c r="DE85" i="1"/>
  <c r="DF85" i="1"/>
  <c r="DD85" i="1"/>
  <c r="DD257" i="1"/>
  <c r="DF257" i="1"/>
  <c r="DE257" i="1"/>
  <c r="DD26" i="1"/>
  <c r="DE26" i="1"/>
  <c r="DF26" i="1"/>
  <c r="DD264" i="1"/>
  <c r="DF264" i="1"/>
  <c r="DE264" i="1"/>
  <c r="DE236" i="1"/>
  <c r="DF236" i="1"/>
  <c r="DD236" i="1"/>
  <c r="DE55" i="1"/>
  <c r="DF55" i="1"/>
  <c r="DD55" i="1"/>
  <c r="DE77" i="1"/>
  <c r="DF77" i="1"/>
  <c r="DD77" i="1"/>
  <c r="DD231" i="1"/>
  <c r="DE231" i="1"/>
  <c r="DF231" i="1"/>
  <c r="DE162" i="1"/>
  <c r="DF162" i="1"/>
  <c r="DD162" i="1"/>
  <c r="DD249" i="1"/>
  <c r="DF249" i="1"/>
  <c r="DE249" i="1"/>
  <c r="DD171" i="1"/>
  <c r="DE171" i="1"/>
  <c r="DF171" i="1"/>
  <c r="DE155" i="1"/>
  <c r="DF155" i="1"/>
  <c r="DD155" i="1"/>
  <c r="DE69" i="1"/>
  <c r="DF69" i="1"/>
  <c r="DD69" i="1"/>
  <c r="DE154" i="1"/>
  <c r="DF154" i="1"/>
  <c r="DD154" i="1"/>
  <c r="DE166" i="1"/>
  <c r="DF166" i="1"/>
  <c r="DD166" i="1"/>
  <c r="DD58" i="1"/>
  <c r="DE58" i="1"/>
  <c r="DF58" i="1"/>
  <c r="DD186" i="1"/>
  <c r="DE186" i="1"/>
  <c r="DF186" i="1"/>
  <c r="DE208" i="1"/>
  <c r="DF208" i="1"/>
  <c r="DD208" i="1"/>
  <c r="DD189" i="1"/>
  <c r="DF189" i="1"/>
  <c r="DE189" i="1"/>
  <c r="DD148" i="1"/>
  <c r="DE148" i="1"/>
  <c r="DF148" i="1"/>
  <c r="DE244" i="1"/>
  <c r="DF244" i="1"/>
  <c r="DD244" i="1"/>
  <c r="DD185" i="1"/>
  <c r="DF185" i="1"/>
  <c r="DE185" i="1"/>
  <c r="DD146" i="1"/>
  <c r="DF146" i="1"/>
  <c r="DE146" i="1"/>
  <c r="DE19" i="1"/>
  <c r="DF19" i="1"/>
  <c r="DD19" i="1"/>
  <c r="DD94" i="1"/>
  <c r="DE94" i="1"/>
  <c r="DF94" i="1"/>
  <c r="DD193" i="1"/>
  <c r="DF193" i="1"/>
  <c r="DE193" i="1"/>
  <c r="DE254" i="1"/>
  <c r="DF254" i="1"/>
  <c r="DD254" i="1"/>
  <c r="DD54" i="1"/>
  <c r="DE54" i="1"/>
  <c r="DF54" i="1"/>
  <c r="DD68" i="1"/>
  <c r="DE68" i="1"/>
  <c r="DF68" i="1"/>
  <c r="DD199" i="1"/>
  <c r="DE199" i="1"/>
  <c r="DF199" i="1"/>
  <c r="DE29" i="1"/>
  <c r="DF29" i="1"/>
  <c r="DD29" i="1"/>
  <c r="DD269" i="1"/>
  <c r="DE269" i="1"/>
  <c r="DF269" i="1"/>
  <c r="DD165" i="1"/>
  <c r="DF165" i="1"/>
  <c r="DE165" i="1"/>
  <c r="DD183" i="1"/>
  <c r="DE183" i="1"/>
  <c r="DF183" i="1"/>
  <c r="DD237" i="1"/>
  <c r="DF237" i="1"/>
  <c r="DE237" i="1"/>
  <c r="DD268" i="1"/>
  <c r="DF268" i="1"/>
  <c r="DE268" i="1"/>
  <c r="DD76" i="1"/>
  <c r="DE76" i="1"/>
  <c r="DF76" i="1"/>
  <c r="DD179" i="1"/>
  <c r="DE179" i="1"/>
  <c r="DF179" i="1"/>
  <c r="DE248" i="1"/>
  <c r="DF248" i="1"/>
  <c r="DD248" i="1"/>
  <c r="DD180" i="1"/>
  <c r="DE180" i="1"/>
  <c r="DF180" i="1"/>
  <c r="DD213" i="1"/>
  <c r="DF213" i="1"/>
  <c r="DE213" i="1"/>
  <c r="DE149" i="1"/>
  <c r="DF149" i="1"/>
  <c r="DD149" i="1"/>
  <c r="DE188" i="1"/>
  <c r="DF188" i="1"/>
  <c r="DD188" i="1"/>
  <c r="DE117" i="1"/>
  <c r="DF117" i="1"/>
  <c r="DD117" i="1"/>
  <c r="DD106" i="1"/>
  <c r="DE106" i="1"/>
  <c r="DF106" i="1"/>
  <c r="DD18" i="1"/>
  <c r="DE18" i="1"/>
  <c r="DF18" i="1"/>
  <c r="DD60" i="1"/>
  <c r="DE60" i="1"/>
  <c r="DF60" i="1"/>
  <c r="DD36" i="1"/>
  <c r="DE36" i="1"/>
  <c r="DF36" i="1"/>
  <c r="DD142" i="1"/>
  <c r="DF142" i="1"/>
  <c r="DE142" i="1"/>
  <c r="DE191" i="1"/>
  <c r="DF191" i="1"/>
  <c r="DD191" i="1"/>
  <c r="DE131" i="1"/>
  <c r="DF131" i="1"/>
  <c r="DD131" i="1"/>
  <c r="DD203" i="1"/>
  <c r="DE203" i="1"/>
  <c r="DF203" i="1"/>
  <c r="DE141" i="1"/>
  <c r="DF141" i="1"/>
  <c r="DD141" i="1"/>
  <c r="DE41" i="1"/>
  <c r="DF41" i="1"/>
  <c r="DD41" i="1"/>
  <c r="DE192" i="1"/>
  <c r="DF192" i="1"/>
  <c r="DD192" i="1"/>
  <c r="DD169" i="1"/>
  <c r="DF169" i="1"/>
  <c r="DE169" i="1"/>
  <c r="DE224" i="1"/>
  <c r="DF224" i="1"/>
  <c r="DD224" i="1"/>
  <c r="DE216" i="1"/>
  <c r="DF216" i="1"/>
  <c r="DD216" i="1"/>
  <c r="DE137" i="1"/>
  <c r="DF137" i="1"/>
  <c r="DD137" i="1"/>
  <c r="DD223" i="1"/>
  <c r="DE223" i="1"/>
  <c r="DF223" i="1"/>
  <c r="DE105" i="1"/>
  <c r="DF105" i="1"/>
  <c r="DD105" i="1"/>
  <c r="DE164" i="1"/>
  <c r="DF164" i="1"/>
  <c r="DD164" i="1"/>
  <c r="DD44" i="1"/>
  <c r="DE44" i="1"/>
  <c r="DF44" i="1"/>
  <c r="DD108" i="1"/>
  <c r="DE108" i="1"/>
  <c r="DF108" i="1"/>
  <c r="DE168" i="1"/>
  <c r="DF168" i="1"/>
  <c r="DD168" i="1"/>
  <c r="DD259" i="1"/>
  <c r="DE259" i="1"/>
  <c r="DF259" i="1"/>
  <c r="DD82" i="1"/>
  <c r="DE82" i="1"/>
  <c r="DF82" i="1"/>
  <c r="DD163" i="1"/>
  <c r="DE163" i="1"/>
  <c r="DF163" i="1"/>
  <c r="DD50" i="1"/>
  <c r="DE50" i="1"/>
  <c r="DF50" i="1"/>
  <c r="DE115" i="1"/>
  <c r="DF115" i="1"/>
  <c r="DD115" i="1"/>
  <c r="DE123" i="1"/>
  <c r="DF123" i="1"/>
  <c r="DD123" i="1"/>
  <c r="DE37" i="1"/>
  <c r="DF37" i="1"/>
  <c r="DD37" i="1"/>
  <c r="DE143" i="1"/>
  <c r="DF143" i="1"/>
  <c r="DD143" i="1"/>
  <c r="DD243" i="1"/>
  <c r="DE243" i="1"/>
  <c r="DF243" i="1"/>
  <c r="DD233" i="1"/>
  <c r="DF233" i="1"/>
  <c r="DE233" i="1"/>
  <c r="DE212" i="1"/>
  <c r="DF212" i="1"/>
  <c r="DD212" i="1"/>
  <c r="DE133" i="1"/>
  <c r="DF133" i="1"/>
  <c r="DD133" i="1"/>
  <c r="DE90" i="1"/>
  <c r="DF90" i="1"/>
  <c r="DD90" i="1"/>
  <c r="DE97" i="1"/>
  <c r="DF97" i="1"/>
  <c r="DD97" i="1"/>
  <c r="DD227" i="1"/>
  <c r="DE227" i="1"/>
  <c r="DF227" i="1"/>
  <c r="DD271" i="1"/>
  <c r="DF271" i="1"/>
  <c r="DE271" i="1"/>
  <c r="DD110" i="1"/>
  <c r="DE110" i="1"/>
  <c r="DF110" i="1"/>
  <c r="DE222" i="1"/>
  <c r="DF222" i="1"/>
  <c r="DD222" i="1"/>
  <c r="DD67" i="1"/>
  <c r="DF67" i="1"/>
  <c r="DE67" i="1"/>
  <c r="DD134" i="1"/>
  <c r="DF134" i="1"/>
  <c r="DE134" i="1"/>
  <c r="DD42" i="1"/>
  <c r="DE42" i="1"/>
  <c r="DF42" i="1"/>
  <c r="DD132" i="1"/>
  <c r="DE132" i="1"/>
  <c r="DF132" i="1"/>
  <c r="DE11" i="1"/>
  <c r="DF11" i="1"/>
  <c r="DD11" i="1"/>
  <c r="DD118" i="1"/>
  <c r="DE118" i="1"/>
  <c r="DF118" i="1"/>
  <c r="DD38" i="1"/>
  <c r="DE38" i="1"/>
  <c r="DF38" i="1"/>
  <c r="DE232" i="1"/>
  <c r="DF232" i="1"/>
  <c r="DD232" i="1"/>
  <c r="CU135" i="1"/>
  <c r="DD261" i="1"/>
  <c r="DF261" i="1"/>
  <c r="DE261" i="1"/>
  <c r="DE47" i="1"/>
  <c r="DF47" i="1"/>
  <c r="DD47" i="1"/>
  <c r="DD247" i="1"/>
  <c r="DE247" i="1"/>
  <c r="DF247" i="1"/>
  <c r="DD56" i="1"/>
  <c r="DF56" i="1"/>
  <c r="DE56" i="1"/>
  <c r="DE234" i="1"/>
  <c r="DF234" i="1"/>
  <c r="DD234" i="1"/>
  <c r="DE198" i="1"/>
  <c r="DF198" i="1"/>
  <c r="DD198" i="1"/>
  <c r="DD35" i="1"/>
  <c r="DE35" i="1"/>
  <c r="DF35" i="1"/>
  <c r="DD181" i="1"/>
  <c r="DF181" i="1"/>
  <c r="DE181" i="1"/>
  <c r="DE151" i="1"/>
  <c r="DF151" i="1"/>
  <c r="DD151" i="1"/>
  <c r="DE156" i="1"/>
  <c r="DF156" i="1"/>
  <c r="DD156" i="1"/>
  <c r="DD177" i="1"/>
  <c r="DF177" i="1"/>
  <c r="DE177" i="1"/>
  <c r="DE49" i="1"/>
  <c r="DF49" i="1"/>
  <c r="DD49" i="1"/>
  <c r="DD251" i="1"/>
  <c r="DE251" i="1"/>
  <c r="DF251" i="1"/>
  <c r="DD202" i="1"/>
  <c r="DE202" i="1"/>
  <c r="DF202" i="1"/>
  <c r="DE190" i="1"/>
  <c r="DF190" i="1"/>
  <c r="DD190" i="1"/>
  <c r="DE172" i="1"/>
  <c r="DF172" i="1"/>
  <c r="DD172" i="1"/>
  <c r="CV8" i="1"/>
  <c r="CW29" i="1"/>
  <c r="CW83" i="1"/>
  <c r="CW84" i="1"/>
  <c r="CU228" i="1"/>
  <c r="CU174" i="1"/>
  <c r="CU170" i="1"/>
  <c r="CW98" i="1"/>
  <c r="CU195" i="1"/>
  <c r="CW14" i="1"/>
  <c r="CW71" i="1"/>
  <c r="CU269" i="1"/>
  <c r="CW135" i="1"/>
  <c r="CU266" i="1"/>
  <c r="CV130" i="1"/>
  <c r="CW64" i="1"/>
  <c r="CV257" i="1"/>
  <c r="CU264" i="1"/>
  <c r="CU231" i="1"/>
  <c r="CU171" i="1"/>
  <c r="CW7" i="1"/>
  <c r="CU183" i="1"/>
  <c r="CU261" i="1"/>
  <c r="CU247" i="1"/>
  <c r="CU35" i="1"/>
  <c r="CV181" i="1"/>
  <c r="CU151" i="1"/>
  <c r="CU156" i="1"/>
  <c r="CV202" i="1"/>
  <c r="CU190" i="1"/>
  <c r="CV171" i="1"/>
  <c r="CV26" i="1"/>
  <c r="CW172" i="1"/>
  <c r="CW249" i="1"/>
  <c r="CU257" i="1"/>
  <c r="CU51" i="1"/>
  <c r="CV85" i="1"/>
  <c r="CW171" i="1"/>
  <c r="CU162" i="1"/>
  <c r="CW231" i="1"/>
  <c r="CU236" i="1"/>
  <c r="CU249" i="1"/>
  <c r="CV174" i="1"/>
  <c r="CV71" i="1"/>
  <c r="CU211" i="1"/>
  <c r="CW130" i="1"/>
  <c r="CV199" i="1"/>
  <c r="CW54" i="1"/>
  <c r="CW255" i="1"/>
  <c r="CV68" i="1"/>
  <c r="CU144" i="1"/>
  <c r="CU255" i="1"/>
  <c r="CU165" i="1"/>
  <c r="CU8" i="1"/>
  <c r="CU199" i="1"/>
  <c r="CU7" i="1"/>
  <c r="CU71" i="1"/>
  <c r="CW183" i="1"/>
  <c r="CW8" i="1"/>
  <c r="CV255" i="1"/>
  <c r="CW107" i="1"/>
  <c r="CV183" i="1"/>
  <c r="CV144" i="1"/>
  <c r="CV211" i="1"/>
  <c r="CW262" i="1"/>
  <c r="CV170" i="1"/>
  <c r="CU81" i="1"/>
  <c r="CW263" i="1"/>
  <c r="CV263" i="1"/>
  <c r="CW225" i="1"/>
  <c r="CV225" i="1"/>
  <c r="CW228" i="1"/>
  <c r="CU204" i="1"/>
  <c r="CV72" i="1"/>
  <c r="CU72" i="1"/>
  <c r="CU226" i="1"/>
  <c r="CU173" i="1"/>
  <c r="CV150" i="1"/>
  <c r="CV81" i="1"/>
  <c r="CU14" i="1"/>
  <c r="CU263" i="1"/>
  <c r="CU225" i="1"/>
  <c r="CV226" i="1"/>
  <c r="CW226" i="1"/>
  <c r="CV228" i="1"/>
  <c r="CW204" i="1"/>
  <c r="CV204" i="1"/>
  <c r="CW72" i="1"/>
  <c r="CW173" i="1"/>
  <c r="CV195" i="1"/>
  <c r="CU150" i="1"/>
  <c r="CV83" i="1"/>
  <c r="CU202" i="1"/>
  <c r="CU77" i="1"/>
  <c r="CV156" i="1"/>
  <c r="CU198" i="1"/>
  <c r="CV190" i="1"/>
  <c r="CV251" i="1"/>
  <c r="CW190" i="1"/>
  <c r="CU251" i="1"/>
  <c r="CU68" i="1"/>
  <c r="CV177" i="1"/>
  <c r="CU49" i="1"/>
  <c r="CV107" i="1"/>
  <c r="CU29" i="1"/>
  <c r="CV165" i="1"/>
  <c r="CV262" i="1"/>
  <c r="CW269" i="1"/>
  <c r="CV269" i="1"/>
  <c r="CW156" i="1"/>
  <c r="CW251" i="1"/>
  <c r="CU177" i="1"/>
  <c r="CW202" i="1"/>
  <c r="CW199" i="1"/>
  <c r="CV7" i="1"/>
  <c r="CW177" i="1"/>
  <c r="CW49" i="1"/>
  <c r="CV49" i="1"/>
  <c r="CU107" i="1"/>
  <c r="CW165" i="1"/>
  <c r="CW211" i="1"/>
  <c r="CV231" i="1"/>
  <c r="CW26" i="1"/>
  <c r="CV236" i="1"/>
  <c r="CV51" i="1"/>
  <c r="CV64" i="1"/>
  <c r="CU64" i="1"/>
  <c r="CW85" i="1"/>
  <c r="CU130" i="1"/>
  <c r="CV162" i="1"/>
  <c r="CU55" i="1"/>
  <c r="CV77" i="1"/>
  <c r="CW264" i="1"/>
  <c r="CV264" i="1"/>
  <c r="CW236" i="1"/>
  <c r="CW51" i="1"/>
  <c r="CW266" i="1"/>
  <c r="CV266" i="1"/>
  <c r="CU101" i="1"/>
  <c r="CW162" i="1"/>
  <c r="CV55" i="1"/>
  <c r="CW77" i="1"/>
  <c r="CV249" i="1"/>
  <c r="CW257" i="1"/>
  <c r="CU26" i="1"/>
  <c r="CU85" i="1"/>
  <c r="CW55" i="1"/>
  <c r="CW151" i="1"/>
  <c r="CW247" i="1"/>
  <c r="CW56" i="1"/>
  <c r="CW198" i="1"/>
  <c r="CV35" i="1"/>
  <c r="CW68" i="1"/>
  <c r="CW181" i="1"/>
  <c r="CV29" i="1"/>
  <c r="CW144" i="1"/>
  <c r="CU54" i="1"/>
  <c r="CU262" i="1"/>
  <c r="CV54" i="1"/>
  <c r="CV247" i="1"/>
  <c r="CV198" i="1"/>
  <c r="CW35" i="1"/>
  <c r="CV234" i="1"/>
  <c r="CW234" i="1"/>
  <c r="CU47" i="1"/>
  <c r="CU56" i="1"/>
  <c r="CU234" i="1"/>
  <c r="CU181" i="1"/>
  <c r="CV151" i="1"/>
  <c r="CV47" i="1"/>
  <c r="CV56" i="1"/>
  <c r="CW261" i="1"/>
  <c r="CV261" i="1"/>
  <c r="CW47" i="1"/>
  <c r="CW195" i="1"/>
  <c r="CW170" i="1"/>
  <c r="CU83" i="1"/>
  <c r="CV84" i="1"/>
  <c r="CU84" i="1"/>
  <c r="CW174" i="1"/>
  <c r="CU98" i="1"/>
  <c r="CV98" i="1"/>
  <c r="CU270" i="1"/>
  <c r="CV270" i="1"/>
  <c r="CW270" i="1"/>
  <c r="CU203" i="1"/>
  <c r="CV203" i="1"/>
  <c r="CW203" i="1"/>
  <c r="CV141" i="1"/>
  <c r="CW141" i="1"/>
  <c r="CU141" i="1"/>
  <c r="CU192" i="1"/>
  <c r="CV192" i="1"/>
  <c r="CW192" i="1"/>
  <c r="CU224" i="1"/>
  <c r="CV224" i="1"/>
  <c r="CW224" i="1"/>
  <c r="CV137" i="1"/>
  <c r="CW137" i="1"/>
  <c r="CU137" i="1"/>
  <c r="CW105" i="1"/>
  <c r="CU105" i="1"/>
  <c r="CV105" i="1"/>
  <c r="CU44" i="1"/>
  <c r="CV44" i="1"/>
  <c r="CW44" i="1"/>
  <c r="CW108" i="1"/>
  <c r="CU108" i="1"/>
  <c r="CV108" i="1"/>
  <c r="CV259" i="1"/>
  <c r="CW259" i="1"/>
  <c r="CU259" i="1"/>
  <c r="CW163" i="1"/>
  <c r="CU163" i="1"/>
  <c r="CV163" i="1"/>
  <c r="CV115" i="1"/>
  <c r="CW115" i="1"/>
  <c r="CU115" i="1"/>
  <c r="CV123" i="1"/>
  <c r="CW123" i="1"/>
  <c r="CU123" i="1"/>
  <c r="CU37" i="1"/>
  <c r="CV37" i="1"/>
  <c r="CW37" i="1"/>
  <c r="CU243" i="1"/>
  <c r="CW243" i="1"/>
  <c r="CV243" i="1"/>
  <c r="CU212" i="1"/>
  <c r="CV212" i="1"/>
  <c r="CW212" i="1"/>
  <c r="CV90" i="1"/>
  <c r="CW90" i="1"/>
  <c r="CU90" i="1"/>
  <c r="CV271" i="1"/>
  <c r="CU271" i="1"/>
  <c r="CW271" i="1"/>
  <c r="CU222" i="1"/>
  <c r="CV222" i="1"/>
  <c r="CW222" i="1"/>
  <c r="CV67" i="1"/>
  <c r="CW67" i="1"/>
  <c r="CU67" i="1"/>
  <c r="CV132" i="1"/>
  <c r="CW132" i="1"/>
  <c r="CU132" i="1"/>
  <c r="CV118" i="1"/>
  <c r="CW118" i="1"/>
  <c r="CU118" i="1"/>
  <c r="CU232" i="1"/>
  <c r="CV232" i="1"/>
  <c r="CW232" i="1"/>
  <c r="CV20" i="1"/>
  <c r="CW20" i="1"/>
  <c r="CU20" i="1"/>
  <c r="CU155" i="1"/>
  <c r="CV155" i="1"/>
  <c r="CW155" i="1"/>
  <c r="CW74" i="1"/>
  <c r="CU74" i="1"/>
  <c r="CV74" i="1"/>
  <c r="CU219" i="1"/>
  <c r="CV219" i="1"/>
  <c r="CW219" i="1"/>
  <c r="CW69" i="1"/>
  <c r="CU69" i="1"/>
  <c r="CV69" i="1"/>
  <c r="CV109" i="1"/>
  <c r="CW109" i="1"/>
  <c r="CU109" i="1"/>
  <c r="CU154" i="1"/>
  <c r="CV154" i="1"/>
  <c r="CW154" i="1"/>
  <c r="CW87" i="1"/>
  <c r="CU87" i="1"/>
  <c r="CV87" i="1"/>
  <c r="CU92" i="1"/>
  <c r="CV92" i="1"/>
  <c r="CW92" i="1"/>
  <c r="CU166" i="1"/>
  <c r="CV166" i="1"/>
  <c r="CW166" i="1"/>
  <c r="CW86" i="1"/>
  <c r="CU86" i="1"/>
  <c r="CV86" i="1"/>
  <c r="CV111" i="1"/>
  <c r="CW111" i="1"/>
  <c r="CU111" i="1"/>
  <c r="CU58" i="1"/>
  <c r="CV58" i="1"/>
  <c r="CW58" i="1"/>
  <c r="CU53" i="1"/>
  <c r="CV53" i="1"/>
  <c r="CW53" i="1"/>
  <c r="CU186" i="1"/>
  <c r="CV136" i="1"/>
  <c r="CW136" i="1"/>
  <c r="CU136" i="1"/>
  <c r="CU208" i="1"/>
  <c r="CV208" i="1"/>
  <c r="CW208" i="1"/>
  <c r="CW93" i="1"/>
  <c r="CU93" i="1"/>
  <c r="CV93" i="1"/>
  <c r="CV256" i="1"/>
  <c r="CW256" i="1"/>
  <c r="CU256" i="1"/>
  <c r="CU189" i="1"/>
  <c r="CV189" i="1"/>
  <c r="CW189" i="1"/>
  <c r="CU45" i="1"/>
  <c r="CV45" i="1"/>
  <c r="CW45" i="1"/>
  <c r="CV148" i="1"/>
  <c r="CW148" i="1"/>
  <c r="CU148" i="1"/>
  <c r="CV253" i="1"/>
  <c r="CW253" i="1"/>
  <c r="CU253" i="1"/>
  <c r="CU244" i="1"/>
  <c r="CV244" i="1"/>
  <c r="CW244" i="1"/>
  <c r="CV125" i="1"/>
  <c r="CW125" i="1"/>
  <c r="CU125" i="1"/>
  <c r="CW121" i="1"/>
  <c r="CU121" i="1"/>
  <c r="CV121" i="1"/>
  <c r="CU185" i="1"/>
  <c r="CV185" i="1"/>
  <c r="CW185" i="1"/>
  <c r="CV70" i="1"/>
  <c r="CW70" i="1"/>
  <c r="CU70" i="1"/>
  <c r="CV146" i="1"/>
  <c r="CW146" i="1"/>
  <c r="CU146" i="1"/>
  <c r="CW78" i="1"/>
  <c r="CU78" i="1"/>
  <c r="CV78" i="1"/>
  <c r="CU205" i="1"/>
  <c r="CV205" i="1"/>
  <c r="CW205" i="1"/>
  <c r="CU19" i="1"/>
  <c r="CV19" i="1"/>
  <c r="CW19" i="1"/>
  <c r="CU187" i="1"/>
  <c r="CV187" i="1"/>
  <c r="CW187" i="1"/>
  <c r="CV17" i="1"/>
  <c r="CW17" i="1"/>
  <c r="CU17" i="1"/>
  <c r="CW94" i="1"/>
  <c r="CU94" i="1"/>
  <c r="CV94" i="1"/>
  <c r="CW80" i="1"/>
  <c r="CU80" i="1"/>
  <c r="CV80" i="1"/>
  <c r="CU39" i="1"/>
  <c r="CV39" i="1"/>
  <c r="CW39" i="1"/>
  <c r="CU193" i="1"/>
  <c r="CV193" i="1"/>
  <c r="CW193" i="1"/>
  <c r="CU220" i="1"/>
  <c r="CV220" i="1"/>
  <c r="CW220" i="1"/>
  <c r="CV89" i="1"/>
  <c r="CW89" i="1"/>
  <c r="CU89" i="1"/>
  <c r="CV254" i="1"/>
  <c r="CW254" i="1"/>
  <c r="CU254" i="1"/>
  <c r="CU178" i="1"/>
  <c r="CV178" i="1"/>
  <c r="CW178" i="1"/>
  <c r="CV21" i="1"/>
  <c r="CW21" i="1"/>
  <c r="CU21" i="1"/>
  <c r="CV260" i="1"/>
  <c r="CU260" i="1"/>
  <c r="CW260" i="1"/>
  <c r="CU159" i="1"/>
  <c r="CV159" i="1"/>
  <c r="CW159" i="1"/>
  <c r="CU201" i="1"/>
  <c r="CV201" i="1"/>
  <c r="CW201" i="1"/>
  <c r="CU43" i="1"/>
  <c r="CV43" i="1"/>
  <c r="CW43" i="1"/>
  <c r="CU217" i="1"/>
  <c r="CV217" i="1"/>
  <c r="CW217" i="1"/>
  <c r="CV33" i="1"/>
  <c r="CW33" i="1"/>
  <c r="CU33" i="1"/>
  <c r="CU196" i="1"/>
  <c r="CV196" i="1"/>
  <c r="CW196" i="1"/>
  <c r="CV28" i="1"/>
  <c r="CW28" i="1"/>
  <c r="CU28" i="1"/>
  <c r="CV147" i="1"/>
  <c r="CW147" i="1"/>
  <c r="CU147" i="1"/>
  <c r="CW91" i="1"/>
  <c r="CU91" i="1"/>
  <c r="CV91" i="1"/>
  <c r="CU46" i="1"/>
  <c r="CV46" i="1"/>
  <c r="CW46" i="1"/>
  <c r="CU241" i="1"/>
  <c r="CV241" i="1"/>
  <c r="CW241" i="1"/>
  <c r="CU239" i="1"/>
  <c r="CW239" i="1"/>
  <c r="CV239" i="1"/>
  <c r="CU221" i="1"/>
  <c r="CV221" i="1"/>
  <c r="CW221" i="1"/>
  <c r="CU41" i="1"/>
  <c r="CV41" i="1"/>
  <c r="CW41" i="1"/>
  <c r="CU169" i="1"/>
  <c r="CV169" i="1"/>
  <c r="CW169" i="1"/>
  <c r="CU216" i="1"/>
  <c r="CV216" i="1"/>
  <c r="CW216" i="1"/>
  <c r="CU223" i="1"/>
  <c r="CW223" i="1"/>
  <c r="CV223" i="1"/>
  <c r="CU164" i="1"/>
  <c r="CV164" i="1"/>
  <c r="CW164" i="1"/>
  <c r="CU168" i="1"/>
  <c r="CV168" i="1"/>
  <c r="CW168" i="1"/>
  <c r="CW82" i="1"/>
  <c r="CU82" i="1"/>
  <c r="CV82" i="1"/>
  <c r="CU50" i="1"/>
  <c r="CV50" i="1"/>
  <c r="CW50" i="1"/>
  <c r="CV143" i="1"/>
  <c r="CW143" i="1"/>
  <c r="CU143" i="1"/>
  <c r="CU233" i="1"/>
  <c r="CV233" i="1"/>
  <c r="CW233" i="1"/>
  <c r="CV133" i="1"/>
  <c r="CW133" i="1"/>
  <c r="CU133" i="1"/>
  <c r="CW97" i="1"/>
  <c r="CU97" i="1"/>
  <c r="CV97" i="1"/>
  <c r="CU227" i="1"/>
  <c r="CW227" i="1"/>
  <c r="CV227" i="1"/>
  <c r="CV110" i="1"/>
  <c r="CW110" i="1"/>
  <c r="CU110" i="1"/>
  <c r="CV134" i="1"/>
  <c r="CW134" i="1"/>
  <c r="CU134" i="1"/>
  <c r="CU42" i="1"/>
  <c r="CV42" i="1"/>
  <c r="CW42" i="1"/>
  <c r="CV11" i="1"/>
  <c r="CW11" i="1"/>
  <c r="CU11" i="1"/>
  <c r="CU38" i="1"/>
  <c r="CV38" i="1"/>
  <c r="CW38" i="1"/>
  <c r="CV116" i="1"/>
  <c r="CW116" i="1"/>
  <c r="CU116" i="1"/>
  <c r="CU218" i="1"/>
  <c r="CV218" i="1"/>
  <c r="CW218" i="1"/>
  <c r="CV12" i="1"/>
  <c r="CW12" i="1"/>
  <c r="CU12" i="1"/>
  <c r="CV30" i="1"/>
  <c r="CW30" i="1"/>
  <c r="CU30" i="1"/>
  <c r="CU246" i="1"/>
  <c r="CV246" i="1"/>
  <c r="CW246" i="1"/>
  <c r="CV31" i="1"/>
  <c r="CW31" i="1"/>
  <c r="CU31" i="1"/>
  <c r="CV15" i="1"/>
  <c r="CW15" i="1"/>
  <c r="CU15" i="1"/>
  <c r="CW102" i="1"/>
  <c r="CU102" i="1"/>
  <c r="CV102" i="1"/>
  <c r="CU235" i="1"/>
  <c r="CW235" i="1"/>
  <c r="CV235" i="1"/>
  <c r="CU157" i="1"/>
  <c r="CV157" i="1"/>
  <c r="CW157" i="1"/>
  <c r="CV32" i="1"/>
  <c r="CW32" i="1"/>
  <c r="CU32" i="1"/>
  <c r="CU238" i="1"/>
  <c r="CW238" i="1"/>
  <c r="CV238" i="1"/>
  <c r="CU230" i="1"/>
  <c r="CW230" i="1"/>
  <c r="CV230" i="1"/>
  <c r="CW88" i="1"/>
  <c r="CU88" i="1"/>
  <c r="CV88" i="1"/>
  <c r="CU240" i="1"/>
  <c r="CV240" i="1"/>
  <c r="CW240" i="1"/>
  <c r="CV145" i="1"/>
  <c r="CW145" i="1"/>
  <c r="CU145" i="1"/>
  <c r="CU59" i="1"/>
  <c r="CV59" i="1"/>
  <c r="CW59" i="1"/>
  <c r="CU152" i="1"/>
  <c r="CV152" i="1"/>
  <c r="CW152" i="1"/>
  <c r="CV122" i="1"/>
  <c r="CW122" i="1"/>
  <c r="CU122" i="1"/>
  <c r="CW99" i="1"/>
  <c r="CU99" i="1"/>
  <c r="CV99" i="1"/>
  <c r="CU229" i="1"/>
  <c r="CV229" i="1"/>
  <c r="CW229" i="1"/>
  <c r="CU215" i="1"/>
  <c r="CV215" i="1"/>
  <c r="CW215" i="1"/>
  <c r="CV16" i="1"/>
  <c r="CW16" i="1"/>
  <c r="CU16" i="1"/>
  <c r="CV24" i="1"/>
  <c r="CW24" i="1"/>
  <c r="CU24" i="1"/>
  <c r="CW184" i="1"/>
  <c r="CU184" i="1"/>
  <c r="CV184" i="1"/>
  <c r="CU237" i="1"/>
  <c r="CV237" i="1"/>
  <c r="CW237" i="1"/>
  <c r="CV268" i="1"/>
  <c r="CU268" i="1"/>
  <c r="CW268" i="1"/>
  <c r="CV126" i="1"/>
  <c r="CW126" i="1"/>
  <c r="CU126" i="1"/>
  <c r="CW76" i="1"/>
  <c r="CU76" i="1"/>
  <c r="CV76" i="1"/>
  <c r="CU179" i="1"/>
  <c r="CV179" i="1"/>
  <c r="CW179" i="1"/>
  <c r="CW103" i="1"/>
  <c r="CU103" i="1"/>
  <c r="CV103" i="1"/>
  <c r="CU248" i="1"/>
  <c r="CV248" i="1"/>
  <c r="CW248" i="1"/>
  <c r="CW180" i="1"/>
  <c r="CU180" i="1"/>
  <c r="CV180" i="1"/>
  <c r="CU213" i="1"/>
  <c r="CV213" i="1"/>
  <c r="CW213" i="1"/>
  <c r="CW96" i="1"/>
  <c r="CU96" i="1"/>
  <c r="CV96" i="1"/>
  <c r="CV149" i="1"/>
  <c r="CW149" i="1"/>
  <c r="CU149" i="1"/>
  <c r="CU188" i="1"/>
  <c r="CV188" i="1"/>
  <c r="CW188" i="1"/>
  <c r="CV153" i="1"/>
  <c r="CW153" i="1"/>
  <c r="CU153" i="1"/>
  <c r="CV117" i="1"/>
  <c r="CW117" i="1"/>
  <c r="CU117" i="1"/>
  <c r="CW106" i="1"/>
  <c r="CU106" i="1"/>
  <c r="CV106" i="1"/>
  <c r="CV18" i="1"/>
  <c r="CW18" i="1"/>
  <c r="CU18" i="1"/>
  <c r="CW73" i="1"/>
  <c r="CU73" i="1"/>
  <c r="CV73" i="1"/>
  <c r="CU60" i="1"/>
  <c r="CV60" i="1"/>
  <c r="CW60" i="1"/>
  <c r="CU36" i="1"/>
  <c r="CV36" i="1"/>
  <c r="CW36" i="1"/>
  <c r="CU120" i="1"/>
  <c r="CV120" i="1"/>
  <c r="CW120" i="1"/>
  <c r="CV142" i="1"/>
  <c r="CW142" i="1"/>
  <c r="CU142" i="1"/>
  <c r="CU176" i="1"/>
  <c r="CV176" i="1"/>
  <c r="CW176" i="1"/>
  <c r="CU191" i="1"/>
  <c r="CV191" i="1"/>
  <c r="CW191" i="1"/>
  <c r="CV27" i="1"/>
  <c r="CW27" i="1"/>
  <c r="CU27" i="1"/>
  <c r="CV131" i="1"/>
  <c r="CW131" i="1"/>
  <c r="CU131" i="1"/>
  <c r="CU214" i="1"/>
  <c r="CV214" i="1"/>
  <c r="CW214" i="1"/>
  <c r="CV9" i="1"/>
  <c r="CW9" i="1"/>
  <c r="CU9" i="1"/>
  <c r="CV265" i="1"/>
  <c r="CU265" i="1"/>
  <c r="CW265" i="1"/>
  <c r="CU61" i="1"/>
  <c r="CV61" i="1"/>
  <c r="CW61" i="1"/>
  <c r="CU62" i="1"/>
  <c r="CV62" i="1"/>
  <c r="CW62" i="1"/>
  <c r="CU65" i="1"/>
  <c r="CV65" i="1"/>
  <c r="CW65" i="1"/>
  <c r="CU114" i="1"/>
  <c r="CV114" i="1"/>
  <c r="CW114" i="1"/>
  <c r="CU245" i="1"/>
  <c r="CV245" i="1"/>
  <c r="CW245" i="1"/>
  <c r="CV119" i="1"/>
  <c r="CW119" i="1"/>
  <c r="CU119" i="1"/>
  <c r="CV128" i="1"/>
  <c r="CW128" i="1"/>
  <c r="CU128" i="1"/>
  <c r="CV23" i="1"/>
  <c r="CW23" i="1"/>
  <c r="CU23" i="1"/>
  <c r="CU207" i="1"/>
  <c r="CV207" i="1"/>
  <c r="CW207" i="1"/>
  <c r="CV22" i="1"/>
  <c r="CW22" i="1"/>
  <c r="CU22" i="1"/>
  <c r="CU57" i="1"/>
  <c r="CV57" i="1"/>
  <c r="CW57" i="1"/>
  <c r="CU167" i="1"/>
  <c r="CV167" i="1"/>
  <c r="CW167" i="1"/>
  <c r="CU200" i="1"/>
  <c r="CV200" i="1"/>
  <c r="CW200" i="1"/>
  <c r="CW100" i="1"/>
  <c r="CU100" i="1"/>
  <c r="CV100" i="1"/>
  <c r="DI258" i="1" l="1" a="1"/>
  <c r="DI258" i="1" s="1"/>
  <c r="DM258" i="1" s="1"/>
  <c r="DJ258" i="1" a="1"/>
  <c r="DJ258" i="1" s="1"/>
  <c r="DN258" i="1" s="1"/>
  <c r="DJ113" i="1" a="1"/>
  <c r="DJ113" i="1" s="1"/>
  <c r="DN113" i="1" s="1"/>
  <c r="DI113" i="1" a="1"/>
  <c r="DI113" i="1" s="1"/>
  <c r="DM113" i="1" s="1"/>
  <c r="C39" i="3"/>
  <c r="F38" i="3"/>
  <c r="E46" i="3"/>
  <c r="DJ127" i="1" a="1"/>
  <c r="DJ127" i="1" s="1"/>
  <c r="DI127" i="1" a="1"/>
  <c r="DI127" i="1" s="1"/>
  <c r="DI210" i="1" a="1"/>
  <c r="DI210" i="1" s="1"/>
  <c r="DJ210" i="1" a="1"/>
  <c r="DJ210" i="1" s="1"/>
  <c r="DI95" i="1" a="1"/>
  <c r="DI95" i="1" s="1"/>
  <c r="DI13" i="1" a="1"/>
  <c r="DI13" i="1" s="1"/>
  <c r="DJ13" i="1" a="1"/>
  <c r="DJ13" i="1" s="1"/>
  <c r="DJ95" i="1" a="1"/>
  <c r="DJ95" i="1" s="1"/>
  <c r="DI124" i="1" a="1"/>
  <c r="DI124" i="1" s="1"/>
  <c r="DI209" i="1" a="1"/>
  <c r="DI209" i="1" s="1"/>
  <c r="DJ209" i="1" a="1"/>
  <c r="DJ209" i="1" s="1"/>
  <c r="DJ124" i="1" a="1"/>
  <c r="DJ124" i="1" s="1"/>
  <c r="DJ79" i="1" a="1"/>
  <c r="DJ79" i="1" s="1"/>
  <c r="DJ250" i="1" a="1"/>
  <c r="DJ250" i="1" s="1"/>
  <c r="DI79" i="1" a="1"/>
  <c r="DI79" i="1" s="1"/>
  <c r="DI250" i="1" a="1"/>
  <c r="DI250" i="1" s="1"/>
  <c r="DJ112" i="1" a="1"/>
  <c r="DJ112" i="1" s="1"/>
  <c r="DI112" i="1" a="1"/>
  <c r="DI112" i="1" s="1"/>
  <c r="DI270" i="1" a="1"/>
  <c r="DI270" i="1" s="1"/>
  <c r="DJ270" i="1" a="1"/>
  <c r="DJ270" i="1" s="1"/>
  <c r="DI267" i="1" a="1"/>
  <c r="DI267" i="1" s="1"/>
  <c r="DJ267" i="1" a="1"/>
  <c r="DJ267" i="1" s="1"/>
  <c r="DN267" i="1" s="1"/>
  <c r="DJ160" i="1" a="1"/>
  <c r="DJ160" i="1" s="1"/>
  <c r="DI160" i="1" a="1"/>
  <c r="DI160" i="1" s="1"/>
  <c r="DJ206" i="1" a="1"/>
  <c r="DJ206" i="1" s="1"/>
  <c r="DI206" i="1" a="1"/>
  <c r="DI206" i="1" s="1"/>
  <c r="DJ172" i="1" a="1"/>
  <c r="DJ172" i="1" s="1"/>
  <c r="DI172" i="1" a="1"/>
  <c r="DI172" i="1" s="1"/>
  <c r="DJ202" i="1" a="1"/>
  <c r="DJ202" i="1" s="1"/>
  <c r="DI202" i="1" a="1"/>
  <c r="DI202" i="1" s="1"/>
  <c r="DJ49" i="1" a="1"/>
  <c r="DJ49" i="1" s="1"/>
  <c r="DI49" i="1" a="1"/>
  <c r="DI49" i="1" s="1"/>
  <c r="DJ156" i="1" a="1"/>
  <c r="DJ156" i="1" s="1"/>
  <c r="DI156" i="1" a="1"/>
  <c r="DI156" i="1" s="1"/>
  <c r="DI181" i="1" a="1"/>
  <c r="DI181" i="1" s="1"/>
  <c r="DJ181" i="1" a="1"/>
  <c r="DJ181" i="1" s="1"/>
  <c r="DJ198" i="1" a="1"/>
  <c r="DJ198" i="1" s="1"/>
  <c r="DI198" i="1" a="1"/>
  <c r="DI198" i="1" s="1"/>
  <c r="DJ56" i="1" a="1"/>
  <c r="DJ56" i="1" s="1"/>
  <c r="DI56" i="1" a="1"/>
  <c r="DI56" i="1" s="1"/>
  <c r="DJ47" i="1" a="1"/>
  <c r="DJ47" i="1" s="1"/>
  <c r="DI47" i="1" a="1"/>
  <c r="DI47" i="1" s="1"/>
  <c r="DI221" i="1" a="1"/>
  <c r="DI221" i="1" s="1"/>
  <c r="DJ221" i="1" a="1"/>
  <c r="DJ221" i="1" s="1"/>
  <c r="DJ24" i="1" a="1"/>
  <c r="DJ24" i="1" s="1"/>
  <c r="DI24" i="1" a="1"/>
  <c r="DI24" i="1" s="1"/>
  <c r="DJ239" i="1" a="1"/>
  <c r="DJ239" i="1" s="1"/>
  <c r="DI239" i="1" a="1"/>
  <c r="DI239" i="1" s="1"/>
  <c r="DI229" i="1" a="1"/>
  <c r="DI229" i="1" s="1"/>
  <c r="DJ229" i="1" a="1"/>
  <c r="DJ229" i="1" s="1"/>
  <c r="DI99" i="1" a="1"/>
  <c r="DI99" i="1" s="1"/>
  <c r="DJ99" i="1" a="1"/>
  <c r="DJ99" i="1" s="1"/>
  <c r="DI46" i="1" a="1"/>
  <c r="DI46" i="1" s="1"/>
  <c r="DJ46" i="1" a="1"/>
  <c r="DJ46" i="1" s="1"/>
  <c r="DI59" i="1" a="1"/>
  <c r="DI59" i="1" s="1"/>
  <c r="DJ59" i="1" a="1"/>
  <c r="DJ59" i="1" s="1"/>
  <c r="DJ145" i="1" a="1"/>
  <c r="DJ145" i="1" s="1"/>
  <c r="DI145" i="1" a="1"/>
  <c r="DI145" i="1" s="1"/>
  <c r="DJ88" i="1" a="1"/>
  <c r="DJ88" i="1" s="1"/>
  <c r="DI88" i="1" a="1"/>
  <c r="DI88" i="1" s="1"/>
  <c r="DJ230" i="1" a="1"/>
  <c r="DJ230" i="1" s="1"/>
  <c r="DI230" i="1" a="1"/>
  <c r="DI230" i="1" s="1"/>
  <c r="DI238" i="1" a="1"/>
  <c r="DI238" i="1" s="1"/>
  <c r="DJ238" i="1" a="1"/>
  <c r="DJ238" i="1" s="1"/>
  <c r="DI256" i="1" a="1"/>
  <c r="DI256" i="1" s="1"/>
  <c r="DJ256" i="1" a="1"/>
  <c r="DJ256" i="1" s="1"/>
  <c r="DJ208" i="1" a="1"/>
  <c r="DJ208" i="1" s="1"/>
  <c r="DI208" i="1" a="1"/>
  <c r="DI208" i="1" s="1"/>
  <c r="DI186" i="1" a="1"/>
  <c r="DI186" i="1" s="1"/>
  <c r="DJ186" i="1" a="1"/>
  <c r="DJ186" i="1" s="1"/>
  <c r="DI111" i="1" a="1"/>
  <c r="DI111" i="1" s="1"/>
  <c r="DJ111" i="1" a="1"/>
  <c r="DJ111" i="1" s="1"/>
  <c r="DJ166" i="1" a="1"/>
  <c r="DJ166" i="1" s="1"/>
  <c r="DI166" i="1" a="1"/>
  <c r="DI166" i="1" s="1"/>
  <c r="DI87" i="1" a="1"/>
  <c r="DI87" i="1" s="1"/>
  <c r="DJ87" i="1" a="1"/>
  <c r="DJ87" i="1" s="1"/>
  <c r="DI109" i="1" a="1"/>
  <c r="DI109" i="1" s="1"/>
  <c r="DJ109" i="1" a="1"/>
  <c r="DJ109" i="1" s="1"/>
  <c r="DI219" i="1" a="1"/>
  <c r="DI219" i="1" s="1"/>
  <c r="DJ219" i="1" a="1"/>
  <c r="DJ219" i="1" s="1"/>
  <c r="DJ155" i="1" a="1"/>
  <c r="DJ155" i="1" s="1"/>
  <c r="DI155" i="1" a="1"/>
  <c r="DI155" i="1" s="1"/>
  <c r="DI115" i="1" a="1"/>
  <c r="DI115" i="1" s="1"/>
  <c r="DJ115" i="1" a="1"/>
  <c r="DJ115" i="1" s="1"/>
  <c r="DJ259" i="1" a="1"/>
  <c r="DJ259" i="1" s="1"/>
  <c r="DI259" i="1" a="1"/>
  <c r="DI259" i="1" s="1"/>
  <c r="DI44" i="1" a="1"/>
  <c r="DI44" i="1" s="1"/>
  <c r="DJ44" i="1" a="1"/>
  <c r="DJ44" i="1" s="1"/>
  <c r="DI223" i="1" a="1"/>
  <c r="DI223" i="1" s="1"/>
  <c r="DJ223" i="1" a="1"/>
  <c r="DJ223" i="1" s="1"/>
  <c r="DJ224" i="1" a="1"/>
  <c r="DJ224" i="1" s="1"/>
  <c r="DI224" i="1" a="1"/>
  <c r="DI224" i="1" s="1"/>
  <c r="DI41" i="1" a="1"/>
  <c r="DI41" i="1" s="1"/>
  <c r="DJ41" i="1" a="1"/>
  <c r="DJ41" i="1" s="1"/>
  <c r="DI203" i="1" a="1"/>
  <c r="DI203" i="1" s="1"/>
  <c r="DJ203" i="1" a="1"/>
  <c r="DJ203" i="1" s="1"/>
  <c r="DJ129" i="1" a="1"/>
  <c r="DJ129" i="1" s="1"/>
  <c r="DI129" i="1" a="1"/>
  <c r="DI129" i="1" s="1"/>
  <c r="DI183" i="1" a="1"/>
  <c r="DI183" i="1" s="1"/>
  <c r="DJ183" i="1" a="1"/>
  <c r="DJ183" i="1" s="1"/>
  <c r="DI107" i="1" a="1"/>
  <c r="DI107" i="1" s="1"/>
  <c r="DJ107" i="1" a="1"/>
  <c r="DJ107" i="1" s="1"/>
  <c r="DI68" i="1" a="1"/>
  <c r="DI68" i="1" s="1"/>
  <c r="DJ68" i="1" a="1"/>
  <c r="DJ68" i="1" s="1"/>
  <c r="DI57" i="1" a="1"/>
  <c r="DI57" i="1" s="1"/>
  <c r="DJ57" i="1" a="1"/>
  <c r="DJ57" i="1" s="1"/>
  <c r="DI119" i="1" a="1"/>
  <c r="DI119" i="1" s="1"/>
  <c r="DJ119" i="1" a="1"/>
  <c r="DJ119" i="1" s="1"/>
  <c r="DI9" i="1" a="1"/>
  <c r="DI9" i="1" s="1"/>
  <c r="DJ9" i="1" a="1"/>
  <c r="DJ9" i="1" s="1"/>
  <c r="DI32" i="1" a="1"/>
  <c r="DI32" i="1" s="1"/>
  <c r="DJ32" i="1" a="1"/>
  <c r="DJ32" i="1" s="1"/>
  <c r="DI102" i="1" a="1"/>
  <c r="DI102" i="1" s="1"/>
  <c r="DJ102" i="1" a="1"/>
  <c r="DJ102" i="1" s="1"/>
  <c r="DI246" i="1" a="1"/>
  <c r="DI246" i="1" s="1"/>
  <c r="DJ246" i="1" a="1"/>
  <c r="DJ246" i="1" s="1"/>
  <c r="DI12" i="1" a="1"/>
  <c r="DI12" i="1" s="1"/>
  <c r="DJ12" i="1" a="1"/>
  <c r="DJ12" i="1" s="1"/>
  <c r="DJ178" i="1" a="1"/>
  <c r="DJ178" i="1" s="1"/>
  <c r="DI178" i="1" a="1"/>
  <c r="DI178" i="1" s="1"/>
  <c r="DI48" i="1" a="1"/>
  <c r="DI48" i="1" s="1"/>
  <c r="DJ48" i="1" a="1"/>
  <c r="DJ48" i="1" s="1"/>
  <c r="DI249" i="1" a="1"/>
  <c r="DI249" i="1" s="1"/>
  <c r="DJ249" i="1" a="1"/>
  <c r="DJ249" i="1" s="1"/>
  <c r="DI231" i="1" a="1"/>
  <c r="DI231" i="1" s="1"/>
  <c r="DJ231" i="1" a="1"/>
  <c r="DJ231" i="1" s="1"/>
  <c r="DI55" i="1" a="1"/>
  <c r="DI55" i="1" s="1"/>
  <c r="DJ55" i="1" a="1"/>
  <c r="DJ55" i="1" s="1"/>
  <c r="DI264" i="1" a="1"/>
  <c r="DI264" i="1" s="1"/>
  <c r="DJ264" i="1" a="1"/>
  <c r="DJ264" i="1" s="1"/>
  <c r="DI257" i="1" a="1"/>
  <c r="DI257" i="1" s="1"/>
  <c r="DJ257" i="1" a="1"/>
  <c r="DJ257" i="1" s="1"/>
  <c r="DI64" i="1" a="1"/>
  <c r="DI64" i="1" s="1"/>
  <c r="DJ64" i="1" a="1"/>
  <c r="DJ64" i="1" s="1"/>
  <c r="DI130" i="1" a="1"/>
  <c r="DI130" i="1" s="1"/>
  <c r="DJ130" i="1" a="1"/>
  <c r="DJ130" i="1" s="1"/>
  <c r="DI51" i="1" a="1"/>
  <c r="DI51" i="1" s="1"/>
  <c r="DJ51" i="1" a="1"/>
  <c r="DJ51" i="1" s="1"/>
  <c r="DI89" i="1" a="1"/>
  <c r="DI89" i="1" s="1"/>
  <c r="DJ89" i="1" a="1"/>
  <c r="DJ89" i="1" s="1"/>
  <c r="DI193" i="1" a="1"/>
  <c r="DI193" i="1" s="1"/>
  <c r="DJ193" i="1" a="1"/>
  <c r="DJ193" i="1" s="1"/>
  <c r="DI80" i="1" a="1"/>
  <c r="DI80" i="1" s="1"/>
  <c r="DJ80" i="1" a="1"/>
  <c r="DJ80" i="1" s="1"/>
  <c r="DJ17" i="1" a="1"/>
  <c r="DJ17" i="1" s="1"/>
  <c r="DI17" i="1" a="1"/>
  <c r="DI17" i="1" s="1"/>
  <c r="DJ19" i="1" a="1"/>
  <c r="DJ19" i="1" s="1"/>
  <c r="DI19" i="1" a="1"/>
  <c r="DI19" i="1" s="1"/>
  <c r="DI78" i="1" a="1"/>
  <c r="DI78" i="1" s="1"/>
  <c r="DJ78" i="1" a="1"/>
  <c r="DJ78" i="1" s="1"/>
  <c r="DJ70" i="1" a="1"/>
  <c r="DJ70" i="1" s="1"/>
  <c r="DI70" i="1" a="1"/>
  <c r="DI70" i="1" s="1"/>
  <c r="DI121" i="1" a="1"/>
  <c r="DI121" i="1" s="1"/>
  <c r="DJ121" i="1" a="1"/>
  <c r="DJ121" i="1" s="1"/>
  <c r="DI244" i="1" a="1"/>
  <c r="DI244" i="1" s="1"/>
  <c r="DJ244" i="1" a="1"/>
  <c r="DJ244" i="1" s="1"/>
  <c r="DI148" i="1" a="1"/>
  <c r="DI148" i="1" s="1"/>
  <c r="DJ148" i="1" a="1"/>
  <c r="DJ148" i="1" s="1"/>
  <c r="DI123" i="1" a="1"/>
  <c r="DI123" i="1" s="1"/>
  <c r="DJ123" i="1" a="1"/>
  <c r="DJ123" i="1" s="1"/>
  <c r="DI82" i="1" a="1"/>
  <c r="DI82" i="1" s="1"/>
  <c r="DJ82" i="1" a="1"/>
  <c r="DJ82" i="1" s="1"/>
  <c r="DI105" i="1" a="1"/>
  <c r="DI105" i="1" s="1"/>
  <c r="DJ105" i="1" a="1"/>
  <c r="DJ105" i="1" s="1"/>
  <c r="DJ192" i="1" a="1"/>
  <c r="DJ192" i="1" s="1"/>
  <c r="DI192" i="1" a="1"/>
  <c r="DI192" i="1" s="1"/>
  <c r="DI25" i="1" a="1"/>
  <c r="DI25" i="1" s="1"/>
  <c r="DM25" i="1" s="1"/>
  <c r="DJ25" i="1" a="1"/>
  <c r="DJ25" i="1" s="1"/>
  <c r="DJ269" i="1" a="1"/>
  <c r="DJ269" i="1" s="1"/>
  <c r="DI269" i="1" a="1"/>
  <c r="DI269" i="1" s="1"/>
  <c r="DI144" i="1" a="1"/>
  <c r="DI144" i="1" s="1"/>
  <c r="DJ144" i="1" a="1"/>
  <c r="DJ144" i="1" s="1"/>
  <c r="DI100" i="1" a="1"/>
  <c r="DI100" i="1" s="1"/>
  <c r="DJ100" i="1" a="1"/>
  <c r="DJ100" i="1" s="1"/>
  <c r="DI265" i="1" a="1"/>
  <c r="DI265" i="1" s="1"/>
  <c r="DJ265" i="1" a="1"/>
  <c r="DJ265" i="1" s="1"/>
  <c r="DJ196" i="1" a="1"/>
  <c r="DJ196" i="1" s="1"/>
  <c r="DI196" i="1" a="1"/>
  <c r="DI196" i="1" s="1"/>
  <c r="DI43" i="1" a="1"/>
  <c r="DI43" i="1" s="1"/>
  <c r="DJ43" i="1" a="1"/>
  <c r="DJ43" i="1" s="1"/>
  <c r="DI252" i="1" a="1"/>
  <c r="DI252" i="1" s="1"/>
  <c r="DJ252" i="1" a="1"/>
  <c r="DJ252" i="1" s="1"/>
  <c r="DI66" i="1" a="1"/>
  <c r="DI66" i="1" s="1"/>
  <c r="DJ66" i="1" a="1"/>
  <c r="DJ66" i="1" s="1"/>
  <c r="DI175" i="1" a="1"/>
  <c r="DI175" i="1" s="1"/>
  <c r="DJ175" i="1" a="1"/>
  <c r="DJ175" i="1" s="1"/>
  <c r="DI138" i="1" a="1"/>
  <c r="DI138" i="1" s="1"/>
  <c r="DJ138" i="1" a="1"/>
  <c r="DJ138" i="1" s="1"/>
  <c r="DI173" i="1" a="1"/>
  <c r="DI173" i="1" s="1"/>
  <c r="DJ173" i="1" a="1"/>
  <c r="DJ173" i="1" s="1"/>
  <c r="DJ204" i="1" a="1"/>
  <c r="DJ204" i="1" s="1"/>
  <c r="DI204" i="1" a="1"/>
  <c r="DI204" i="1" s="1"/>
  <c r="DJ81" i="1" a="1"/>
  <c r="DJ81" i="1" s="1"/>
  <c r="DI81" i="1" a="1"/>
  <c r="DI81" i="1" s="1"/>
  <c r="DJ263" i="1" a="1"/>
  <c r="DJ263" i="1" s="1"/>
  <c r="DI263" i="1" a="1"/>
  <c r="DI263" i="1" s="1"/>
  <c r="DI195" i="1" a="1"/>
  <c r="DI195" i="1" s="1"/>
  <c r="DJ195" i="1" a="1"/>
  <c r="DJ195" i="1" s="1"/>
  <c r="DJ170" i="1" a="1"/>
  <c r="DJ170" i="1" s="1"/>
  <c r="DI170" i="1" a="1"/>
  <c r="DI170" i="1" s="1"/>
  <c r="DJ228" i="1" a="1"/>
  <c r="DJ228" i="1" s="1"/>
  <c r="DI228" i="1" a="1"/>
  <c r="DI228" i="1" s="1"/>
  <c r="DI83" i="1" a="1"/>
  <c r="DI83" i="1" s="1"/>
  <c r="DJ83" i="1" a="1"/>
  <c r="DJ83" i="1" s="1"/>
  <c r="DI38" i="1" a="1"/>
  <c r="DI38" i="1" s="1"/>
  <c r="DJ38" i="1" a="1"/>
  <c r="DJ38" i="1" s="1"/>
  <c r="DI11" i="1" a="1"/>
  <c r="DI11" i="1" s="1"/>
  <c r="DJ11" i="1" a="1"/>
  <c r="DJ11" i="1" s="1"/>
  <c r="DJ42" i="1" a="1"/>
  <c r="DJ42" i="1" s="1"/>
  <c r="DI42" i="1" a="1"/>
  <c r="DI42" i="1" s="1"/>
  <c r="DI67" i="1" a="1"/>
  <c r="DI67" i="1" s="1"/>
  <c r="DJ67" i="1" a="1"/>
  <c r="DJ67" i="1" s="1"/>
  <c r="DI110" i="1" a="1"/>
  <c r="DI110" i="1" s="1"/>
  <c r="DJ110" i="1" a="1"/>
  <c r="DJ110" i="1" s="1"/>
  <c r="DI227" i="1" a="1"/>
  <c r="DI227" i="1" s="1"/>
  <c r="DJ227" i="1" a="1"/>
  <c r="DJ227" i="1" s="1"/>
  <c r="DI90" i="1" a="1"/>
  <c r="DI90" i="1" s="1"/>
  <c r="DJ90" i="1" a="1"/>
  <c r="DJ90" i="1" s="1"/>
  <c r="DJ212" i="1" a="1"/>
  <c r="DJ212" i="1" s="1"/>
  <c r="DI212" i="1" a="1"/>
  <c r="DI212" i="1" s="1"/>
  <c r="DJ243" i="1" a="1"/>
  <c r="DJ243" i="1" s="1"/>
  <c r="DI243" i="1" a="1"/>
  <c r="DI243" i="1" s="1"/>
  <c r="DI37" i="1" a="1"/>
  <c r="DI37" i="1" s="1"/>
  <c r="DJ37" i="1" a="1"/>
  <c r="DJ37" i="1" s="1"/>
  <c r="DJ142" i="1" a="1"/>
  <c r="DJ142" i="1" s="1"/>
  <c r="DI142" i="1" a="1"/>
  <c r="DI142" i="1" s="1"/>
  <c r="DI36" i="1" a="1"/>
  <c r="DI36" i="1" s="1"/>
  <c r="DJ36" i="1" a="1"/>
  <c r="DJ36" i="1" s="1"/>
  <c r="DI73" i="1" a="1"/>
  <c r="DI73" i="1" s="1"/>
  <c r="DJ73" i="1" a="1"/>
  <c r="DJ73" i="1" s="1"/>
  <c r="DI106" i="1" a="1"/>
  <c r="DI106" i="1" s="1"/>
  <c r="DJ106" i="1" a="1"/>
  <c r="DJ106" i="1" s="1"/>
  <c r="DI153" i="1" a="1"/>
  <c r="DI153" i="1" s="1"/>
  <c r="DJ153" i="1" a="1"/>
  <c r="DJ153" i="1" s="1"/>
  <c r="DI149" i="1" a="1"/>
  <c r="DI149" i="1" s="1"/>
  <c r="DJ149" i="1" a="1"/>
  <c r="DJ149" i="1" s="1"/>
  <c r="DI213" i="1" a="1"/>
  <c r="DI213" i="1" s="1"/>
  <c r="DJ213" i="1" a="1"/>
  <c r="DJ213" i="1" s="1"/>
  <c r="DI248" i="1" a="1"/>
  <c r="DI248" i="1" s="1"/>
  <c r="DJ248" i="1" a="1"/>
  <c r="DJ248" i="1" s="1"/>
  <c r="DI179" i="1" a="1"/>
  <c r="DI179" i="1" s="1"/>
  <c r="DJ179" i="1" a="1"/>
  <c r="DJ179" i="1" s="1"/>
  <c r="DJ126" i="1" a="1"/>
  <c r="DJ126" i="1" s="1"/>
  <c r="DI126" i="1" a="1"/>
  <c r="DI126" i="1" s="1"/>
  <c r="DI237" i="1" a="1"/>
  <c r="DI237" i="1" s="1"/>
  <c r="DJ237" i="1" a="1"/>
  <c r="DJ237" i="1" s="1"/>
  <c r="DI161" i="1" a="1"/>
  <c r="DI161" i="1" s="1"/>
  <c r="DJ161" i="1" a="1"/>
  <c r="DJ161" i="1" s="1"/>
  <c r="DI211" i="1" a="1"/>
  <c r="DI211" i="1" s="1"/>
  <c r="DJ211" i="1" a="1"/>
  <c r="DJ211" i="1" s="1"/>
  <c r="DI7" i="1" a="1"/>
  <c r="DI7" i="1" s="1"/>
  <c r="DJ7" i="1" a="1"/>
  <c r="DJ7" i="1" s="1"/>
  <c r="DI54" i="1" a="1"/>
  <c r="DI54" i="1" s="1"/>
  <c r="DJ54" i="1" a="1"/>
  <c r="DJ54" i="1" s="1"/>
  <c r="DI207" i="1" a="1"/>
  <c r="DI207" i="1" s="1"/>
  <c r="DJ207" i="1" a="1"/>
  <c r="DJ207" i="1" s="1"/>
  <c r="DI245" i="1" a="1"/>
  <c r="DI245" i="1" s="1"/>
  <c r="DJ245" i="1" a="1"/>
  <c r="DJ245" i="1" s="1"/>
  <c r="DI61" i="1" a="1"/>
  <c r="DI61" i="1" s="1"/>
  <c r="DJ61" i="1" a="1"/>
  <c r="DJ61" i="1" s="1"/>
  <c r="DJ191" i="1" a="1"/>
  <c r="DJ191" i="1" s="1"/>
  <c r="DI191" i="1" a="1"/>
  <c r="DI191" i="1" s="1"/>
  <c r="DI217" i="1" a="1"/>
  <c r="DI217" i="1" s="1"/>
  <c r="DJ217" i="1" a="1"/>
  <c r="DJ217" i="1" s="1"/>
  <c r="DI201" i="1" a="1"/>
  <c r="DI201" i="1" s="1"/>
  <c r="DJ201" i="1" a="1"/>
  <c r="DJ201" i="1" s="1"/>
  <c r="DI260" i="1" a="1"/>
  <c r="DI260" i="1" s="1"/>
  <c r="DJ260" i="1" a="1"/>
  <c r="DJ260" i="1" s="1"/>
  <c r="DI116" i="1" a="1"/>
  <c r="DI116" i="1" s="1"/>
  <c r="DJ116" i="1" a="1"/>
  <c r="DJ116" i="1" s="1"/>
  <c r="DI34" i="1" a="1"/>
  <c r="DI34" i="1" s="1"/>
  <c r="DJ34" i="1" a="1"/>
  <c r="DJ34" i="1" s="1"/>
  <c r="DJ63" i="1" a="1"/>
  <c r="DJ63" i="1" s="1"/>
  <c r="DI63" i="1" a="1"/>
  <c r="DI63" i="1" s="1"/>
  <c r="DJ40" i="1" a="1"/>
  <c r="DJ40" i="1" s="1"/>
  <c r="DI40" i="1" a="1"/>
  <c r="DI40" i="1" s="1"/>
  <c r="DJ182" i="1" a="1"/>
  <c r="DJ182" i="1" s="1"/>
  <c r="DI182" i="1" a="1"/>
  <c r="DI182" i="1" s="1"/>
  <c r="DI104" i="1" a="1"/>
  <c r="DI104" i="1" s="1"/>
  <c r="DJ104" i="1" a="1"/>
  <c r="DJ104" i="1" s="1"/>
  <c r="DJ190" i="1" a="1"/>
  <c r="DJ190" i="1" s="1"/>
  <c r="DI190" i="1" a="1"/>
  <c r="DI190" i="1" s="1"/>
  <c r="DJ251" i="1" a="1"/>
  <c r="DJ251" i="1" s="1"/>
  <c r="DI251" i="1" a="1"/>
  <c r="DI251" i="1" s="1"/>
  <c r="DI177" i="1" a="1"/>
  <c r="DI177" i="1" s="1"/>
  <c r="DJ177" i="1" a="1"/>
  <c r="DJ177" i="1" s="1"/>
  <c r="DI151" i="1" a="1"/>
  <c r="DI151" i="1" s="1"/>
  <c r="DJ151" i="1" a="1"/>
  <c r="DJ151" i="1" s="1"/>
  <c r="DI35" i="1" a="1"/>
  <c r="DI35" i="1" s="1"/>
  <c r="DJ35" i="1" a="1"/>
  <c r="DJ35" i="1" s="1"/>
  <c r="DI234" i="1" a="1"/>
  <c r="DI234" i="1" s="1"/>
  <c r="DJ234" i="1" a="1"/>
  <c r="DJ234" i="1" s="1"/>
  <c r="DJ247" i="1" a="1"/>
  <c r="DJ247" i="1" s="1"/>
  <c r="DI247" i="1" a="1"/>
  <c r="DI247" i="1" s="1"/>
  <c r="DI261" i="1" a="1"/>
  <c r="DI261" i="1" s="1"/>
  <c r="DJ261" i="1" a="1"/>
  <c r="DJ261" i="1" s="1"/>
  <c r="DI184" i="1" a="1"/>
  <c r="DI184" i="1" s="1"/>
  <c r="DJ184" i="1" a="1"/>
  <c r="DJ184" i="1" s="1"/>
  <c r="DI16" i="1" a="1"/>
  <c r="DI16" i="1" s="1"/>
  <c r="DJ16" i="1" a="1"/>
  <c r="DJ16" i="1" s="1"/>
  <c r="DI215" i="1" a="1"/>
  <c r="DI215" i="1" s="1"/>
  <c r="DJ215" i="1" a="1"/>
  <c r="DJ215" i="1" s="1"/>
  <c r="DI241" i="1" a="1"/>
  <c r="DI241" i="1" s="1"/>
  <c r="DJ241" i="1" a="1"/>
  <c r="DJ241" i="1" s="1"/>
  <c r="DI122" i="1" a="1"/>
  <c r="DI122" i="1" s="1"/>
  <c r="DJ122" i="1" a="1"/>
  <c r="DJ122" i="1" s="1"/>
  <c r="DJ152" i="1" a="1"/>
  <c r="DJ152" i="1" s="1"/>
  <c r="DI152" i="1" a="1"/>
  <c r="DI152" i="1" s="1"/>
  <c r="DI91" i="1" a="1"/>
  <c r="DI91" i="1" s="1"/>
  <c r="DJ91" i="1" a="1"/>
  <c r="DJ91" i="1" s="1"/>
  <c r="DI240" i="1" a="1"/>
  <c r="DI240" i="1" s="1"/>
  <c r="DJ240" i="1" a="1"/>
  <c r="DJ240" i="1" s="1"/>
  <c r="DI147" i="1" a="1"/>
  <c r="DI147" i="1" s="1"/>
  <c r="DJ147" i="1" a="1"/>
  <c r="DJ147" i="1" s="1"/>
  <c r="DI28" i="1" a="1"/>
  <c r="DI28" i="1" s="1"/>
  <c r="DJ28" i="1" a="1"/>
  <c r="DJ28" i="1" s="1"/>
  <c r="DI189" i="1" a="1"/>
  <c r="DI189" i="1" s="1"/>
  <c r="DJ189" i="1" a="1"/>
  <c r="DJ189" i="1" s="1"/>
  <c r="DI93" i="1" a="1"/>
  <c r="DI93" i="1" s="1"/>
  <c r="DJ93" i="1" a="1"/>
  <c r="DJ93" i="1" s="1"/>
  <c r="DI136" i="1" a="1"/>
  <c r="DI136" i="1" s="1"/>
  <c r="DJ136" i="1" a="1"/>
  <c r="DJ136" i="1" s="1"/>
  <c r="DI53" i="1" a="1"/>
  <c r="DI53" i="1" s="1"/>
  <c r="DJ53" i="1" a="1"/>
  <c r="DJ53" i="1" s="1"/>
  <c r="DJ58" i="1" a="1"/>
  <c r="DJ58" i="1" s="1"/>
  <c r="DI58" i="1" a="1"/>
  <c r="DI58" i="1" s="1"/>
  <c r="DI86" i="1" a="1"/>
  <c r="DI86" i="1" s="1"/>
  <c r="DJ86" i="1" a="1"/>
  <c r="DJ86" i="1" s="1"/>
  <c r="DI92" i="1" a="1"/>
  <c r="DI92" i="1" s="1"/>
  <c r="DJ92" i="1" a="1"/>
  <c r="DJ92" i="1" s="1"/>
  <c r="DI154" i="1" a="1"/>
  <c r="DI154" i="1" s="1"/>
  <c r="DJ154" i="1" a="1"/>
  <c r="DJ154" i="1" s="1"/>
  <c r="DI69" i="1" a="1"/>
  <c r="DI69" i="1" s="1"/>
  <c r="DJ69" i="1" a="1"/>
  <c r="DJ69" i="1" s="1"/>
  <c r="DJ74" i="1" a="1"/>
  <c r="DJ74" i="1" s="1"/>
  <c r="DI74" i="1" a="1"/>
  <c r="DI74" i="1" s="1"/>
  <c r="DI20" i="1" a="1"/>
  <c r="DI20" i="1" s="1"/>
  <c r="DJ20" i="1" a="1"/>
  <c r="DJ20" i="1" s="1"/>
  <c r="DJ163" i="1" a="1"/>
  <c r="DJ163" i="1" s="1"/>
  <c r="DI163" i="1" a="1"/>
  <c r="DI163" i="1" s="1"/>
  <c r="DJ168" i="1" a="1"/>
  <c r="DJ168" i="1" s="1"/>
  <c r="DI168" i="1" a="1"/>
  <c r="DI168" i="1" s="1"/>
  <c r="DJ164" i="1" a="1"/>
  <c r="DJ164" i="1" s="1"/>
  <c r="DI164" i="1" a="1"/>
  <c r="DI164" i="1" s="1"/>
  <c r="DJ137" i="1" a="1"/>
  <c r="DJ137" i="1" s="1"/>
  <c r="DI137" i="1" a="1"/>
  <c r="DI137" i="1" s="1"/>
  <c r="DI169" i="1" a="1"/>
  <c r="DI169" i="1" s="1"/>
  <c r="DJ169" i="1" a="1"/>
  <c r="DJ169" i="1" s="1"/>
  <c r="DI141" i="1" a="1"/>
  <c r="DI141" i="1" s="1"/>
  <c r="DJ141" i="1" a="1"/>
  <c r="DJ141" i="1" s="1"/>
  <c r="DJ158" i="1" a="1"/>
  <c r="DJ158" i="1" s="1"/>
  <c r="DI158" i="1" a="1"/>
  <c r="DI158" i="1" s="1"/>
  <c r="DI197" i="1" a="1"/>
  <c r="DI197" i="1" s="1"/>
  <c r="DJ197" i="1" a="1"/>
  <c r="DJ197" i="1" s="1"/>
  <c r="DI165" i="1" a="1"/>
  <c r="DI165" i="1" s="1"/>
  <c r="DJ165" i="1" a="1"/>
  <c r="DJ165" i="1" s="1"/>
  <c r="DI199" i="1" a="1"/>
  <c r="DI199" i="1" s="1"/>
  <c r="DJ199" i="1" a="1"/>
  <c r="DJ199" i="1" s="1"/>
  <c r="DJ200" i="1" a="1"/>
  <c r="DJ200" i="1" s="1"/>
  <c r="DI200" i="1" a="1"/>
  <c r="DI200" i="1" s="1"/>
  <c r="DI23" i="1" a="1"/>
  <c r="DI23" i="1" s="1"/>
  <c r="DJ23" i="1" a="1"/>
  <c r="DJ23" i="1" s="1"/>
  <c r="DI62" i="1" a="1"/>
  <c r="DI62" i="1" s="1"/>
  <c r="DJ62" i="1" a="1"/>
  <c r="DJ62" i="1" s="1"/>
  <c r="DI131" i="1" a="1"/>
  <c r="DI131" i="1" s="1"/>
  <c r="DJ131" i="1" a="1"/>
  <c r="DJ131" i="1" s="1"/>
  <c r="DJ33" i="1" a="1"/>
  <c r="DJ33" i="1" s="1"/>
  <c r="DI33" i="1" a="1"/>
  <c r="DI33" i="1" s="1"/>
  <c r="DJ31" i="1" a="1"/>
  <c r="DJ31" i="1" s="1"/>
  <c r="DI31" i="1" a="1"/>
  <c r="DI31" i="1" s="1"/>
  <c r="DI30" i="1" a="1"/>
  <c r="DI30" i="1" s="1"/>
  <c r="DJ30" i="1" a="1"/>
  <c r="DJ30" i="1" s="1"/>
  <c r="DI21" i="1" a="1"/>
  <c r="DI21" i="1" s="1"/>
  <c r="DJ21" i="1" a="1"/>
  <c r="DJ21" i="1" s="1"/>
  <c r="DI242" i="1" a="1"/>
  <c r="DI242" i="1" s="1"/>
  <c r="DJ242" i="1" a="1"/>
  <c r="DJ242" i="1" s="1"/>
  <c r="DJ10" i="1" a="1"/>
  <c r="DJ10" i="1" s="1"/>
  <c r="DI10" i="1" a="1"/>
  <c r="DI10" i="1" s="1"/>
  <c r="DI139" i="1" a="1"/>
  <c r="DI139" i="1" s="1"/>
  <c r="DJ139" i="1" a="1"/>
  <c r="DJ139" i="1" s="1"/>
  <c r="DI171" i="1" a="1"/>
  <c r="DI171" i="1" s="1"/>
  <c r="DJ171" i="1" a="1"/>
  <c r="DJ171" i="1" s="1"/>
  <c r="DJ162" i="1" a="1"/>
  <c r="DJ162" i="1" s="1"/>
  <c r="DI162" i="1" a="1"/>
  <c r="DI162" i="1" s="1"/>
  <c r="DI77" i="1" a="1"/>
  <c r="DI77" i="1" s="1"/>
  <c r="DJ77" i="1" a="1"/>
  <c r="DJ77" i="1" s="1"/>
  <c r="DI236" i="1" a="1"/>
  <c r="DI236" i="1" s="1"/>
  <c r="DJ236" i="1" a="1"/>
  <c r="DJ236" i="1" s="1"/>
  <c r="DJ26" i="1" a="1"/>
  <c r="DJ26" i="1" s="1"/>
  <c r="DI26" i="1" a="1"/>
  <c r="DI26" i="1" s="1"/>
  <c r="DI85" i="1" a="1"/>
  <c r="DI85" i="1" s="1"/>
  <c r="DJ85" i="1" a="1"/>
  <c r="DJ85" i="1" s="1"/>
  <c r="DI101" i="1" a="1"/>
  <c r="DI101" i="1" s="1"/>
  <c r="DJ101" i="1" a="1"/>
  <c r="DJ101" i="1" s="1"/>
  <c r="DJ266" i="1" a="1"/>
  <c r="DJ266" i="1" s="1"/>
  <c r="DI266" i="1" a="1"/>
  <c r="DI266" i="1" s="1"/>
  <c r="DI254" i="1" a="1"/>
  <c r="DI254" i="1" s="1"/>
  <c r="DJ254" i="1" a="1"/>
  <c r="DJ254" i="1" s="1"/>
  <c r="DJ220" i="1" a="1"/>
  <c r="DJ220" i="1" s="1"/>
  <c r="DI220" i="1" a="1"/>
  <c r="DI220" i="1" s="1"/>
  <c r="DI39" i="1" a="1"/>
  <c r="DI39" i="1" s="1"/>
  <c r="DJ39" i="1" a="1"/>
  <c r="DJ39" i="1" s="1"/>
  <c r="DI94" i="1" a="1"/>
  <c r="DI94" i="1" s="1"/>
  <c r="DJ94" i="1" a="1"/>
  <c r="DJ94" i="1" s="1"/>
  <c r="DI187" i="1" a="1"/>
  <c r="DI187" i="1" s="1"/>
  <c r="DJ187" i="1" a="1"/>
  <c r="DJ187" i="1" s="1"/>
  <c r="DI205" i="1" a="1"/>
  <c r="DI205" i="1" s="1"/>
  <c r="DJ205" i="1" a="1"/>
  <c r="DJ205" i="1" s="1"/>
  <c r="DI146" i="1" a="1"/>
  <c r="DI146" i="1" s="1"/>
  <c r="DJ146" i="1" a="1"/>
  <c r="DJ146" i="1" s="1"/>
  <c r="DI185" i="1" a="1"/>
  <c r="DI185" i="1" s="1"/>
  <c r="DJ185" i="1" a="1"/>
  <c r="DJ185" i="1" s="1"/>
  <c r="DI125" i="1" a="1"/>
  <c r="DI125" i="1" s="1"/>
  <c r="DJ125" i="1" a="1"/>
  <c r="DJ125" i="1" s="1"/>
  <c r="DI253" i="1" a="1"/>
  <c r="DI253" i="1" s="1"/>
  <c r="DJ253" i="1" a="1"/>
  <c r="DJ253" i="1" s="1"/>
  <c r="DI45" i="1" a="1"/>
  <c r="DI45" i="1" s="1"/>
  <c r="DJ45" i="1" a="1"/>
  <c r="DJ45" i="1" s="1"/>
  <c r="DI50" i="1" a="1"/>
  <c r="DI50" i="1" s="1"/>
  <c r="DJ50" i="1" a="1"/>
  <c r="DJ50" i="1" s="1"/>
  <c r="DI108" i="1" a="1"/>
  <c r="DI108" i="1" s="1"/>
  <c r="DJ108" i="1" a="1"/>
  <c r="DJ108" i="1" s="1"/>
  <c r="DJ216" i="1" a="1"/>
  <c r="DJ216" i="1" s="1"/>
  <c r="DI216" i="1" a="1"/>
  <c r="DI216" i="1" s="1"/>
  <c r="DJ255" i="1" a="1"/>
  <c r="DJ255" i="1" s="1"/>
  <c r="DI255" i="1" a="1"/>
  <c r="DI255" i="1" s="1"/>
  <c r="DI71" i="1" a="1"/>
  <c r="DI71" i="1" s="1"/>
  <c r="DJ71" i="1" a="1"/>
  <c r="DJ71" i="1" s="1"/>
  <c r="DJ8" i="1" a="1"/>
  <c r="DJ8" i="1" s="1"/>
  <c r="DI8" i="1" a="1"/>
  <c r="DI8" i="1" s="1"/>
  <c r="DI22" i="1" a="1"/>
  <c r="DI22" i="1" s="1"/>
  <c r="DJ22" i="1" a="1"/>
  <c r="DJ22" i="1" s="1"/>
  <c r="DI114" i="1" a="1"/>
  <c r="DI114" i="1" s="1"/>
  <c r="DJ114" i="1" a="1"/>
  <c r="DJ114" i="1" s="1"/>
  <c r="DI27" i="1" a="1"/>
  <c r="DI27" i="1" s="1"/>
  <c r="DJ27" i="1" a="1"/>
  <c r="DJ27" i="1" s="1"/>
  <c r="DI235" i="1" a="1"/>
  <c r="DI235" i="1" s="1"/>
  <c r="DJ235" i="1" a="1"/>
  <c r="DJ235" i="1" s="1"/>
  <c r="DJ194" i="1" a="1"/>
  <c r="DJ194" i="1" s="1"/>
  <c r="DI194" i="1" a="1"/>
  <c r="DI194" i="1" s="1"/>
  <c r="DI140" i="1" a="1"/>
  <c r="DI140" i="1" s="1"/>
  <c r="DJ140" i="1" a="1"/>
  <c r="DJ140" i="1" s="1"/>
  <c r="DI52" i="1" a="1"/>
  <c r="DI52" i="1" s="1"/>
  <c r="DJ52" i="1" a="1"/>
  <c r="DJ52" i="1" s="1"/>
  <c r="DJ226" i="1" a="1"/>
  <c r="DJ226" i="1" s="1"/>
  <c r="DI226" i="1" a="1"/>
  <c r="DI226" i="1" s="1"/>
  <c r="DJ150" i="1" a="1"/>
  <c r="DJ150" i="1" s="1"/>
  <c r="DI150" i="1" a="1"/>
  <c r="DI150" i="1" s="1"/>
  <c r="DJ72" i="1" a="1"/>
  <c r="DJ72" i="1" s="1"/>
  <c r="DI72" i="1" a="1"/>
  <c r="DI72" i="1" s="1"/>
  <c r="DI225" i="1" a="1"/>
  <c r="DI225" i="1" s="1"/>
  <c r="DJ225" i="1" a="1"/>
  <c r="DJ225" i="1" s="1"/>
  <c r="DI14" i="1" a="1"/>
  <c r="DI14" i="1" s="1"/>
  <c r="DJ14" i="1" a="1"/>
  <c r="DJ14" i="1" s="1"/>
  <c r="DI98" i="1" a="1"/>
  <c r="DI98" i="1" s="1"/>
  <c r="DJ98" i="1" a="1"/>
  <c r="DJ98" i="1" s="1"/>
  <c r="DJ174" i="1" a="1"/>
  <c r="DJ174" i="1" s="1"/>
  <c r="DI174" i="1" a="1"/>
  <c r="DI174" i="1" s="1"/>
  <c r="DI84" i="1" a="1"/>
  <c r="DI84" i="1" s="1"/>
  <c r="DJ84" i="1" a="1"/>
  <c r="DJ84" i="1" s="1"/>
  <c r="DI232" i="1" a="1"/>
  <c r="DI232" i="1" s="1"/>
  <c r="DJ232" i="1" a="1"/>
  <c r="DJ232" i="1" s="1"/>
  <c r="DJ118" i="1" a="1"/>
  <c r="DJ118" i="1" s="1"/>
  <c r="DI118" i="1" a="1"/>
  <c r="DI118" i="1" s="1"/>
  <c r="DI132" i="1" a="1"/>
  <c r="DI132" i="1" s="1"/>
  <c r="DJ132" i="1" a="1"/>
  <c r="DJ132" i="1" s="1"/>
  <c r="DJ134" i="1" a="1"/>
  <c r="DJ134" i="1" s="1"/>
  <c r="DI134" i="1" a="1"/>
  <c r="DI134" i="1" s="1"/>
  <c r="DJ222" i="1" a="1"/>
  <c r="DJ222" i="1" s="1"/>
  <c r="DI222" i="1" a="1"/>
  <c r="DI222" i="1" s="1"/>
  <c r="DI271" i="1" a="1"/>
  <c r="DI271" i="1" s="1"/>
  <c r="DJ271" i="1" a="1"/>
  <c r="DJ271" i="1" s="1"/>
  <c r="DI97" i="1" a="1"/>
  <c r="DI97" i="1" s="1"/>
  <c r="DJ97" i="1" a="1"/>
  <c r="DJ97" i="1" s="1"/>
  <c r="DI133" i="1" a="1"/>
  <c r="DI133" i="1" s="1"/>
  <c r="DJ133" i="1" a="1"/>
  <c r="DJ133" i="1" s="1"/>
  <c r="DJ233" i="1" a="1"/>
  <c r="DJ233" i="1" s="1"/>
  <c r="DI233" i="1" a="1"/>
  <c r="DI233" i="1" s="1"/>
  <c r="DI143" i="1" a="1"/>
  <c r="DI143" i="1" s="1"/>
  <c r="DJ143" i="1" a="1"/>
  <c r="DJ143" i="1" s="1"/>
  <c r="DJ176" i="1" a="1"/>
  <c r="DJ176" i="1" s="1"/>
  <c r="DI176" i="1" a="1"/>
  <c r="DI176" i="1" s="1"/>
  <c r="DI120" i="1" a="1"/>
  <c r="DI120" i="1" s="1"/>
  <c r="DJ120" i="1" a="1"/>
  <c r="DJ120" i="1" s="1"/>
  <c r="DI60" i="1" a="1"/>
  <c r="DI60" i="1" s="1"/>
  <c r="DJ60" i="1" a="1"/>
  <c r="DJ60" i="1" s="1"/>
  <c r="DI18" i="1" a="1"/>
  <c r="DI18" i="1" s="1"/>
  <c r="DJ18" i="1" a="1"/>
  <c r="DJ18" i="1" s="1"/>
  <c r="DI117" i="1" a="1"/>
  <c r="DI117" i="1" s="1"/>
  <c r="DJ117" i="1" a="1"/>
  <c r="DJ117" i="1" s="1"/>
  <c r="DJ188" i="1" a="1"/>
  <c r="DJ188" i="1" s="1"/>
  <c r="DI188" i="1" a="1"/>
  <c r="DI188" i="1" s="1"/>
  <c r="DI96" i="1" a="1"/>
  <c r="DI96" i="1" s="1"/>
  <c r="DJ96" i="1" a="1"/>
  <c r="DJ96" i="1" s="1"/>
  <c r="DI180" i="1" a="1"/>
  <c r="DI180" i="1" s="1"/>
  <c r="DJ180" i="1" a="1"/>
  <c r="DJ180" i="1" s="1"/>
  <c r="DI103" i="1" a="1"/>
  <c r="DI103" i="1" s="1"/>
  <c r="DJ103" i="1" a="1"/>
  <c r="DJ103" i="1" s="1"/>
  <c r="DI76" i="1" a="1"/>
  <c r="DI76" i="1" s="1"/>
  <c r="DJ76" i="1" a="1"/>
  <c r="DJ76" i="1" s="1"/>
  <c r="DI268" i="1" a="1"/>
  <c r="DI268" i="1" s="1"/>
  <c r="DJ268" i="1" a="1"/>
  <c r="DJ268" i="1" s="1"/>
  <c r="DI75" i="1" a="1"/>
  <c r="DI75" i="1" s="1"/>
  <c r="DJ75" i="1" a="1"/>
  <c r="DJ75" i="1" s="1"/>
  <c r="DI135" i="1" a="1"/>
  <c r="DI135" i="1" s="1"/>
  <c r="DJ135" i="1" a="1"/>
  <c r="DJ135" i="1" s="1"/>
  <c r="DI29" i="1" a="1"/>
  <c r="DI29" i="1" s="1"/>
  <c r="DJ29" i="1" a="1"/>
  <c r="DJ29" i="1" s="1"/>
  <c r="DI262" i="1" a="1"/>
  <c r="DI262" i="1" s="1"/>
  <c r="DJ262" i="1" a="1"/>
  <c r="DJ262" i="1" s="1"/>
  <c r="DI167" i="1" a="1"/>
  <c r="DI167" i="1" s="1"/>
  <c r="DJ167" i="1" a="1"/>
  <c r="DJ167" i="1" s="1"/>
  <c r="DI128" i="1" a="1"/>
  <c r="DI128" i="1" s="1"/>
  <c r="DJ128" i="1" a="1"/>
  <c r="DJ128" i="1" s="1"/>
  <c r="DI65" i="1" a="1"/>
  <c r="DI65" i="1" s="1"/>
  <c r="DJ65" i="1" a="1"/>
  <c r="DJ65" i="1" s="1"/>
  <c r="DJ214" i="1" a="1"/>
  <c r="DJ214" i="1" s="1"/>
  <c r="DI214" i="1" a="1"/>
  <c r="DI214" i="1" s="1"/>
  <c r="DI157" i="1" a="1"/>
  <c r="DI157" i="1" s="1"/>
  <c r="DJ157" i="1" a="1"/>
  <c r="DJ157" i="1" s="1"/>
  <c r="DJ15" i="1" a="1"/>
  <c r="DJ15" i="1" s="1"/>
  <c r="DI15" i="1" a="1"/>
  <c r="DI15" i="1" s="1"/>
  <c r="DI159" i="1" a="1"/>
  <c r="DI159" i="1" s="1"/>
  <c r="DJ159" i="1" a="1"/>
  <c r="DJ159" i="1" s="1"/>
  <c r="DJ218" i="1" a="1"/>
  <c r="DJ218" i="1" s="1"/>
  <c r="DI218" i="1" a="1"/>
  <c r="DI218" i="1" s="1"/>
  <c r="DT180" i="1" l="1"/>
  <c r="DT90" i="1"/>
  <c r="DT7" i="1"/>
  <c r="DL113" i="1"/>
  <c r="DL258" i="1"/>
  <c r="DT258" i="1"/>
  <c r="DT113" i="1"/>
  <c r="DM14" i="1"/>
  <c r="C40" i="3"/>
  <c r="F39" i="3"/>
  <c r="E47" i="3"/>
  <c r="DM127" i="1"/>
  <c r="DM124" i="1"/>
  <c r="DT127" i="1"/>
  <c r="DN127" i="1"/>
  <c r="DN210" i="1"/>
  <c r="DN112" i="1"/>
  <c r="DM95" i="1"/>
  <c r="DT210" i="1"/>
  <c r="DN13" i="1"/>
  <c r="DN209" i="1"/>
  <c r="DT13" i="1"/>
  <c r="DM210" i="1"/>
  <c r="DM13" i="1"/>
  <c r="DN95" i="1"/>
  <c r="DT95" i="1"/>
  <c r="DT209" i="1"/>
  <c r="DN79" i="1"/>
  <c r="DT124" i="1"/>
  <c r="DN250" i="1"/>
  <c r="DN124" i="1"/>
  <c r="DT79" i="1"/>
  <c r="DM209" i="1"/>
  <c r="DT250" i="1"/>
  <c r="DM55" i="1"/>
  <c r="DM115" i="1"/>
  <c r="DM256" i="1"/>
  <c r="DM78" i="1"/>
  <c r="DM68" i="1"/>
  <c r="DM186" i="1"/>
  <c r="DM175" i="1"/>
  <c r="DM153" i="1"/>
  <c r="DM116" i="1"/>
  <c r="DM79" i="1"/>
  <c r="DM46" i="1"/>
  <c r="DM92" i="1"/>
  <c r="DM219" i="1"/>
  <c r="DM173" i="1"/>
  <c r="DM90" i="1"/>
  <c r="DM89" i="1"/>
  <c r="DM250" i="1"/>
  <c r="DM231" i="1"/>
  <c r="DM11" i="1"/>
  <c r="DM148" i="1"/>
  <c r="DM270" i="1"/>
  <c r="DM161" i="1"/>
  <c r="DM102" i="1"/>
  <c r="DM9" i="1"/>
  <c r="DM7" i="1"/>
  <c r="DM121" i="1"/>
  <c r="DM109" i="1"/>
  <c r="DT112" i="1"/>
  <c r="DM238" i="1"/>
  <c r="DM99" i="1"/>
  <c r="DM41" i="1"/>
  <c r="DM82" i="1"/>
  <c r="DM37" i="1"/>
  <c r="DM44" i="1"/>
  <c r="DM130" i="1"/>
  <c r="DM119" i="1"/>
  <c r="DM252" i="1"/>
  <c r="DM237" i="1"/>
  <c r="DM73" i="1"/>
  <c r="DM38" i="1"/>
  <c r="DM201" i="1"/>
  <c r="DM244" i="1"/>
  <c r="DM195" i="1"/>
  <c r="DM177" i="1"/>
  <c r="DM267" i="1"/>
  <c r="DL267" i="1" s="1"/>
  <c r="DM112" i="1"/>
  <c r="DM183" i="1"/>
  <c r="DM179" i="1"/>
  <c r="DM203" i="1"/>
  <c r="DM54" i="1"/>
  <c r="DM32" i="1"/>
  <c r="DM211" i="1"/>
  <c r="DM246" i="1"/>
  <c r="DM105" i="1"/>
  <c r="DM249" i="1"/>
  <c r="DM111" i="1"/>
  <c r="DM87" i="1"/>
  <c r="DM35" i="1"/>
  <c r="DM257" i="1"/>
  <c r="DM213" i="1"/>
  <c r="DM245" i="1"/>
  <c r="DM110" i="1"/>
  <c r="DM144" i="1"/>
  <c r="DM80" i="1"/>
  <c r="DM229" i="1"/>
  <c r="DM123" i="1"/>
  <c r="DM154" i="1"/>
  <c r="DM236" i="1"/>
  <c r="DM193" i="1"/>
  <c r="DM165" i="1"/>
  <c r="DM43" i="1"/>
  <c r="DM234" i="1"/>
  <c r="DM241" i="1"/>
  <c r="DM93" i="1"/>
  <c r="DM16" i="1"/>
  <c r="DM106" i="1"/>
  <c r="DM217" i="1"/>
  <c r="DM227" i="1"/>
  <c r="DM53" i="1"/>
  <c r="DM260" i="1"/>
  <c r="DM248" i="1"/>
  <c r="DM114" i="1"/>
  <c r="DM34" i="1"/>
  <c r="DM131" i="1"/>
  <c r="DM108" i="1"/>
  <c r="DM23" i="1"/>
  <c r="DM22" i="1"/>
  <c r="DM125" i="1"/>
  <c r="DM101" i="1"/>
  <c r="DM199" i="1"/>
  <c r="DM197" i="1"/>
  <c r="DM21" i="1"/>
  <c r="DM253" i="1"/>
  <c r="DM132" i="1"/>
  <c r="DM96" i="1"/>
  <c r="DM77" i="1"/>
  <c r="DM45" i="1"/>
  <c r="DM254" i="1"/>
  <c r="DM71" i="1"/>
  <c r="DM147" i="1"/>
  <c r="DM122" i="1"/>
  <c r="DM20" i="1"/>
  <c r="DM136" i="1"/>
  <c r="DM141" i="1"/>
  <c r="DM146" i="1"/>
  <c r="DM171" i="1"/>
  <c r="DM52" i="1"/>
  <c r="DM187" i="1"/>
  <c r="DM65" i="1"/>
  <c r="DM215" i="1"/>
  <c r="DM69" i="1"/>
  <c r="DM189" i="1"/>
  <c r="DM91" i="1"/>
  <c r="DM27" i="1"/>
  <c r="DM184" i="1"/>
  <c r="DM39" i="1"/>
  <c r="DM242" i="1"/>
  <c r="DM261" i="1"/>
  <c r="DM85" i="1"/>
  <c r="DM117" i="1"/>
  <c r="DM235" i="1"/>
  <c r="DM62" i="1"/>
  <c r="DM98" i="1"/>
  <c r="DM225" i="1"/>
  <c r="DM143" i="1"/>
  <c r="DM126" i="1"/>
  <c r="DM15" i="1"/>
  <c r="DM233" i="1"/>
  <c r="DM222" i="1"/>
  <c r="DM226" i="1"/>
  <c r="DM8" i="1"/>
  <c r="DM216" i="1"/>
  <c r="DM220" i="1"/>
  <c r="DM162" i="1"/>
  <c r="DM33" i="1"/>
  <c r="DM200" i="1"/>
  <c r="DM164" i="1"/>
  <c r="DM74" i="1"/>
  <c r="DM263" i="1"/>
  <c r="DM269" i="1"/>
  <c r="DM17" i="1"/>
  <c r="DM166" i="1"/>
  <c r="DM208" i="1"/>
  <c r="DM88" i="1"/>
  <c r="DM172" i="1"/>
  <c r="DM128" i="1"/>
  <c r="DM135" i="1"/>
  <c r="DM103" i="1"/>
  <c r="DM60" i="1"/>
  <c r="DM232" i="1"/>
  <c r="DM48" i="1"/>
  <c r="DM104" i="1"/>
  <c r="DM100" i="1"/>
  <c r="DM221" i="1"/>
  <c r="DM169" i="1"/>
  <c r="DM223" i="1"/>
  <c r="DM140" i="1"/>
  <c r="DM151" i="1"/>
  <c r="DM264" i="1"/>
  <c r="DM107" i="1"/>
  <c r="DM188" i="1"/>
  <c r="DM134" i="1"/>
  <c r="DM118" i="1"/>
  <c r="DM150" i="1"/>
  <c r="DM194" i="1"/>
  <c r="DM26" i="1"/>
  <c r="DM10" i="1"/>
  <c r="DM31" i="1"/>
  <c r="DM137" i="1"/>
  <c r="DM168" i="1"/>
  <c r="DM58" i="1"/>
  <c r="DM247" i="1"/>
  <c r="DM190" i="1"/>
  <c r="DM182" i="1"/>
  <c r="DM63" i="1"/>
  <c r="DM191" i="1"/>
  <c r="DM142" i="1"/>
  <c r="DM243" i="1"/>
  <c r="DM42" i="1"/>
  <c r="DM228" i="1"/>
  <c r="DM81" i="1"/>
  <c r="DM196" i="1"/>
  <c r="DM70" i="1"/>
  <c r="DM19" i="1"/>
  <c r="DM178" i="1"/>
  <c r="DM224" i="1"/>
  <c r="DM230" i="1"/>
  <c r="DM145" i="1"/>
  <c r="DM24" i="1"/>
  <c r="DM47" i="1"/>
  <c r="DM198" i="1"/>
  <c r="DM156" i="1"/>
  <c r="DM202" i="1"/>
  <c r="DM206" i="1"/>
  <c r="DM218" i="1"/>
  <c r="DM214" i="1"/>
  <c r="DM176" i="1"/>
  <c r="DM174" i="1"/>
  <c r="DM72" i="1"/>
  <c r="DM255" i="1"/>
  <c r="DM266" i="1"/>
  <c r="DM152" i="1"/>
  <c r="DM251" i="1"/>
  <c r="DM40" i="1"/>
  <c r="DM212" i="1"/>
  <c r="DM170" i="1"/>
  <c r="DM204" i="1"/>
  <c r="DM192" i="1"/>
  <c r="DM129" i="1"/>
  <c r="DM259" i="1"/>
  <c r="DM239" i="1"/>
  <c r="DM56" i="1"/>
  <c r="DM49" i="1"/>
  <c r="DM160" i="1"/>
  <c r="DM158" i="1"/>
  <c r="DM262" i="1"/>
  <c r="DM185" i="1"/>
  <c r="DM51" i="1"/>
  <c r="DM97" i="1"/>
  <c r="DM94" i="1"/>
  <c r="DM59" i="1"/>
  <c r="DM66" i="1"/>
  <c r="DM240" i="1"/>
  <c r="DM61" i="1"/>
  <c r="DM155" i="1"/>
  <c r="DM205" i="1"/>
  <c r="DM207" i="1"/>
  <c r="DM86" i="1"/>
  <c r="DM268" i="1"/>
  <c r="DM138" i="1"/>
  <c r="DM139" i="1"/>
  <c r="DM30" i="1"/>
  <c r="DM149" i="1"/>
  <c r="DM36" i="1"/>
  <c r="DM181" i="1"/>
  <c r="DM64" i="1"/>
  <c r="DM163" i="1"/>
  <c r="DM67" i="1"/>
  <c r="DM28" i="1"/>
  <c r="DM50" i="1"/>
  <c r="DM83" i="1"/>
  <c r="DM12" i="1"/>
  <c r="DM265" i="1"/>
  <c r="DM57" i="1"/>
  <c r="DM159" i="1"/>
  <c r="DM157" i="1"/>
  <c r="DM167" i="1"/>
  <c r="DM29" i="1"/>
  <c r="DM75" i="1"/>
  <c r="DM76" i="1"/>
  <c r="DM180" i="1"/>
  <c r="DM18" i="1"/>
  <c r="DM120" i="1"/>
  <c r="DM133" i="1"/>
  <c r="DM271" i="1"/>
  <c r="DM84" i="1"/>
  <c r="DT267" i="1"/>
  <c r="DN270" i="1"/>
  <c r="DT270" i="1"/>
  <c r="DN190" i="1"/>
  <c r="DT190" i="1"/>
  <c r="DN68" i="1"/>
  <c r="DT68" i="1"/>
  <c r="DN101" i="1"/>
  <c r="DT101" i="1"/>
  <c r="DN108" i="1"/>
  <c r="DT108" i="1"/>
  <c r="DN70" i="1"/>
  <c r="DT70" i="1"/>
  <c r="DN218" i="1"/>
  <c r="DT218" i="1"/>
  <c r="DN152" i="1"/>
  <c r="DT152" i="1"/>
  <c r="DN76" i="1"/>
  <c r="DT76" i="1"/>
  <c r="DN213" i="1"/>
  <c r="DT213" i="1"/>
  <c r="DN191" i="1"/>
  <c r="DT191" i="1"/>
  <c r="DN65" i="1"/>
  <c r="DT65" i="1"/>
  <c r="DN167" i="1"/>
  <c r="DT167" i="1"/>
  <c r="DN176" i="1"/>
  <c r="DT176" i="1"/>
  <c r="DN204" i="1"/>
  <c r="DT204" i="1"/>
  <c r="DN151" i="1"/>
  <c r="DT151" i="1"/>
  <c r="DN199" i="1"/>
  <c r="DT199" i="1"/>
  <c r="DN181" i="1"/>
  <c r="DT181" i="1"/>
  <c r="DN222" i="1"/>
  <c r="DT222" i="1"/>
  <c r="DN219" i="1"/>
  <c r="DT219" i="1"/>
  <c r="DN111" i="1"/>
  <c r="DT111" i="1"/>
  <c r="DN93" i="1"/>
  <c r="DT93" i="1"/>
  <c r="DN78" i="1"/>
  <c r="DT78" i="1"/>
  <c r="DN220" i="1"/>
  <c r="DT220" i="1"/>
  <c r="DN221" i="1"/>
  <c r="DT221" i="1"/>
  <c r="DN38" i="1"/>
  <c r="DT38" i="1"/>
  <c r="DN36" i="1"/>
  <c r="DT36" i="1"/>
  <c r="DN116" i="1"/>
  <c r="DT116" i="1"/>
  <c r="DN120" i="1"/>
  <c r="DT120" i="1"/>
  <c r="DN100" i="1"/>
  <c r="DT100" i="1"/>
  <c r="DN212" i="1"/>
  <c r="DT212" i="1"/>
  <c r="DN195" i="1"/>
  <c r="DT195" i="1"/>
  <c r="DN198" i="1"/>
  <c r="DT198" i="1"/>
  <c r="DN56" i="1"/>
  <c r="DT56" i="1"/>
  <c r="DN45" i="1"/>
  <c r="DT45" i="1"/>
  <c r="DN28" i="1"/>
  <c r="DT28" i="1"/>
  <c r="DN88" i="1"/>
  <c r="DT88" i="1"/>
  <c r="DN214" i="1"/>
  <c r="DT214" i="1"/>
  <c r="DN255" i="1"/>
  <c r="DT255" i="1"/>
  <c r="DN148" i="1"/>
  <c r="DT148" i="1"/>
  <c r="DN147" i="1"/>
  <c r="DT147" i="1"/>
  <c r="DN138" i="1"/>
  <c r="DT138" i="1"/>
  <c r="DN177" i="1"/>
  <c r="DT177" i="1"/>
  <c r="DN203" i="1"/>
  <c r="DT203" i="1"/>
  <c r="DN67" i="1"/>
  <c r="DT67" i="1"/>
  <c r="DN58" i="1"/>
  <c r="DT58" i="1"/>
  <c r="DN89" i="1"/>
  <c r="DT89" i="1"/>
  <c r="DN133" i="1"/>
  <c r="DT133" i="1"/>
  <c r="DN266" i="1"/>
  <c r="DT266" i="1"/>
  <c r="DN202" i="1"/>
  <c r="DT202" i="1"/>
  <c r="DN232" i="1"/>
  <c r="DT232" i="1"/>
  <c r="DN249" i="1"/>
  <c r="DT249" i="1"/>
  <c r="DN235" i="1"/>
  <c r="DT235" i="1"/>
  <c r="DN261" i="1"/>
  <c r="DT261" i="1"/>
  <c r="DN239" i="1"/>
  <c r="DT239" i="1"/>
  <c r="DN259" i="1"/>
  <c r="DT259" i="1"/>
  <c r="DN237" i="1"/>
  <c r="DT237" i="1"/>
  <c r="DN129" i="1"/>
  <c r="DT129" i="1"/>
  <c r="DN10" i="1"/>
  <c r="DT10" i="1"/>
  <c r="DN139" i="1"/>
  <c r="DT139" i="1"/>
  <c r="DN175" i="1"/>
  <c r="DT175" i="1"/>
  <c r="DN211" i="1"/>
  <c r="DT211" i="1"/>
  <c r="DN49" i="1"/>
  <c r="DT49" i="1"/>
  <c r="DN83" i="1"/>
  <c r="DT83" i="1"/>
  <c r="DN37" i="1"/>
  <c r="DT37" i="1"/>
  <c r="DN46" i="1"/>
  <c r="DT46" i="1"/>
  <c r="DN30" i="1"/>
  <c r="DT30" i="1"/>
  <c r="DN215" i="1"/>
  <c r="DT215" i="1"/>
  <c r="DN179" i="1"/>
  <c r="DT179" i="1"/>
  <c r="DN96" i="1"/>
  <c r="DT96" i="1"/>
  <c r="DN131" i="1"/>
  <c r="DT131" i="1"/>
  <c r="DN128" i="1"/>
  <c r="DT128" i="1"/>
  <c r="DN122" i="1"/>
  <c r="DT122" i="1"/>
  <c r="DN119" i="1"/>
  <c r="DT119" i="1"/>
  <c r="DN189" i="1"/>
  <c r="DT189" i="1"/>
  <c r="DN162" i="1"/>
  <c r="DT162" i="1"/>
  <c r="DN71" i="1"/>
  <c r="DT71" i="1"/>
  <c r="DN98" i="1"/>
  <c r="DT98" i="1"/>
  <c r="DN132" i="1"/>
  <c r="DT132" i="1"/>
  <c r="DN69" i="1"/>
  <c r="DT69" i="1"/>
  <c r="DN121" i="1"/>
  <c r="DT121" i="1"/>
  <c r="DN205" i="1"/>
  <c r="DT205" i="1"/>
  <c r="DN21" i="1"/>
  <c r="DT21" i="1"/>
  <c r="DN216" i="1"/>
  <c r="DT216" i="1"/>
  <c r="DN145" i="1"/>
  <c r="DT145" i="1"/>
  <c r="DN41" i="1"/>
  <c r="DT41" i="1"/>
  <c r="DN102" i="1"/>
  <c r="DT102" i="1"/>
  <c r="DN27" i="1"/>
  <c r="DT27" i="1"/>
  <c r="DN174" i="1"/>
  <c r="DT174" i="1"/>
  <c r="DN92" i="1"/>
  <c r="DT92" i="1"/>
  <c r="DN156" i="1"/>
  <c r="DT156" i="1"/>
  <c r="DN130" i="1"/>
  <c r="DT130" i="1"/>
  <c r="DN84" i="1"/>
  <c r="DT84" i="1"/>
  <c r="DN125" i="1"/>
  <c r="DT125" i="1"/>
  <c r="DN97" i="1"/>
  <c r="DT97" i="1"/>
  <c r="DN99" i="1"/>
  <c r="DT99" i="1"/>
  <c r="DN62" i="1"/>
  <c r="DT62" i="1"/>
  <c r="DN7" i="1"/>
  <c r="DN17" i="1"/>
  <c r="DT17" i="1"/>
  <c r="DN82" i="1"/>
  <c r="DT82" i="1"/>
  <c r="DN172" i="1"/>
  <c r="DT172" i="1"/>
  <c r="DN107" i="1"/>
  <c r="DT107" i="1"/>
  <c r="DN105" i="1"/>
  <c r="DT105" i="1"/>
  <c r="DN118" i="1"/>
  <c r="DT118" i="1"/>
  <c r="DN136" i="1"/>
  <c r="DT136" i="1"/>
  <c r="DN196" i="1"/>
  <c r="DT196" i="1"/>
  <c r="DN12" i="1"/>
  <c r="DT12" i="1"/>
  <c r="DN231" i="1"/>
  <c r="DT231" i="1"/>
  <c r="DN224" i="1"/>
  <c r="DT224" i="1"/>
  <c r="DN253" i="1"/>
  <c r="DT253" i="1"/>
  <c r="DN247" i="1"/>
  <c r="DT247" i="1"/>
  <c r="DN226" i="1"/>
  <c r="DT226" i="1"/>
  <c r="DN256" i="1"/>
  <c r="DT256" i="1"/>
  <c r="DN230" i="1"/>
  <c r="DT230" i="1"/>
  <c r="DN262" i="1"/>
  <c r="DT262" i="1"/>
  <c r="DN248" i="1"/>
  <c r="DT248" i="1"/>
  <c r="DN254" i="1"/>
  <c r="DT254" i="1"/>
  <c r="DN268" i="1"/>
  <c r="DT268" i="1"/>
  <c r="DN161" i="1"/>
  <c r="DT161" i="1"/>
  <c r="DN197" i="1"/>
  <c r="DT197" i="1"/>
  <c r="DN206" i="1"/>
  <c r="DT206" i="1"/>
  <c r="DN194" i="1"/>
  <c r="DT194" i="1"/>
  <c r="DN170" i="1"/>
  <c r="DT170" i="1"/>
  <c r="DN81" i="1"/>
  <c r="DT81" i="1"/>
  <c r="DN29" i="1"/>
  <c r="DT29" i="1"/>
  <c r="DN137" i="1"/>
  <c r="DT137" i="1"/>
  <c r="DN20" i="1"/>
  <c r="DT20" i="1"/>
  <c r="DN50" i="1"/>
  <c r="DT50" i="1"/>
  <c r="DN31" i="1"/>
  <c r="DT31" i="1"/>
  <c r="DN184" i="1"/>
  <c r="DT184" i="1"/>
  <c r="DN103" i="1"/>
  <c r="DT103" i="1"/>
  <c r="DN153" i="1"/>
  <c r="DT153" i="1"/>
  <c r="DN9" i="1"/>
  <c r="DT9" i="1"/>
  <c r="DN23" i="1"/>
  <c r="DT23" i="1"/>
  <c r="DN188" i="1"/>
  <c r="DT188" i="1"/>
  <c r="DN200" i="1"/>
  <c r="DT200" i="1"/>
  <c r="DN168" i="1"/>
  <c r="DT168" i="1"/>
  <c r="DN144" i="1"/>
  <c r="DT144" i="1"/>
  <c r="DN72" i="1"/>
  <c r="DT72" i="1"/>
  <c r="DN123" i="1"/>
  <c r="DT123" i="1"/>
  <c r="DN155" i="1"/>
  <c r="DT155" i="1"/>
  <c r="DN166" i="1"/>
  <c r="DT166" i="1"/>
  <c r="DN186" i="1"/>
  <c r="DT186" i="1"/>
  <c r="DN185" i="1"/>
  <c r="DT185" i="1"/>
  <c r="DN187" i="1"/>
  <c r="DT187" i="1"/>
  <c r="DN159" i="1"/>
  <c r="DT159" i="1"/>
  <c r="DN164" i="1"/>
  <c r="DT164" i="1"/>
  <c r="DN24" i="1"/>
  <c r="DT24" i="1"/>
  <c r="DN143" i="1"/>
  <c r="DT143" i="1"/>
  <c r="DN59" i="1"/>
  <c r="DT59" i="1"/>
  <c r="DN114" i="1"/>
  <c r="DT114" i="1"/>
  <c r="DN8" i="1"/>
  <c r="DT8" i="1"/>
  <c r="DN223" i="1"/>
  <c r="DT223" i="1"/>
  <c r="DN51" i="1"/>
  <c r="DT51" i="1"/>
  <c r="DN85" i="1"/>
  <c r="DT85" i="1"/>
  <c r="DN141" i="1"/>
  <c r="DT141" i="1"/>
  <c r="DN39" i="1"/>
  <c r="DT39" i="1"/>
  <c r="DN11" i="1"/>
  <c r="DT11" i="1"/>
  <c r="DN106" i="1"/>
  <c r="DT106" i="1"/>
  <c r="DN57" i="1"/>
  <c r="DT57" i="1"/>
  <c r="DN193" i="1"/>
  <c r="DT193" i="1"/>
  <c r="DN178" i="1"/>
  <c r="DT178" i="1"/>
  <c r="DN32" i="1"/>
  <c r="DT32" i="1"/>
  <c r="DN14" i="1"/>
  <c r="DT14" i="1"/>
  <c r="DN64" i="1"/>
  <c r="DT64" i="1"/>
  <c r="DN163" i="1"/>
  <c r="DT163" i="1"/>
  <c r="DN154" i="1"/>
  <c r="DT154" i="1"/>
  <c r="DN19" i="1"/>
  <c r="DT19" i="1"/>
  <c r="DN91" i="1"/>
  <c r="DT91" i="1"/>
  <c r="DN117" i="1"/>
  <c r="DT117" i="1"/>
  <c r="DN257" i="1"/>
  <c r="DT257" i="1"/>
  <c r="DN243" i="1"/>
  <c r="DT243" i="1"/>
  <c r="DN260" i="1"/>
  <c r="DT260" i="1"/>
  <c r="DN228" i="1"/>
  <c r="DT228" i="1"/>
  <c r="DN263" i="1"/>
  <c r="DT263" i="1"/>
  <c r="DN227" i="1"/>
  <c r="DT227" i="1"/>
  <c r="DN240" i="1"/>
  <c r="DT240" i="1"/>
  <c r="DN234" i="1"/>
  <c r="DT234" i="1"/>
  <c r="DN225" i="1"/>
  <c r="DT225" i="1"/>
  <c r="DN233" i="1"/>
  <c r="DT233" i="1"/>
  <c r="DN265" i="1"/>
  <c r="DT265" i="1"/>
  <c r="DN160" i="1"/>
  <c r="DT160" i="1"/>
  <c r="DN63" i="1"/>
  <c r="DT63" i="1"/>
  <c r="DN40" i="1"/>
  <c r="DT40" i="1"/>
  <c r="DN104" i="1"/>
  <c r="DT104" i="1"/>
  <c r="DN25" i="1"/>
  <c r="DL25" i="1" s="1"/>
  <c r="DT25" i="1"/>
  <c r="DN242" i="1"/>
  <c r="DT242" i="1"/>
  <c r="DN252" i="1"/>
  <c r="DT252" i="1"/>
  <c r="DN171" i="1"/>
  <c r="DT171" i="1"/>
  <c r="DN173" i="1"/>
  <c r="DT173" i="1"/>
  <c r="DN55" i="1"/>
  <c r="DT55" i="1"/>
  <c r="DN44" i="1"/>
  <c r="DT44" i="1"/>
  <c r="DN53" i="1"/>
  <c r="DT53" i="1"/>
  <c r="DN110" i="1"/>
  <c r="DT110" i="1"/>
  <c r="DN157" i="1"/>
  <c r="DT157" i="1"/>
  <c r="DN126" i="1"/>
  <c r="DT126" i="1"/>
  <c r="DN180" i="1"/>
  <c r="DN142" i="1"/>
  <c r="DT142" i="1"/>
  <c r="DN61" i="1"/>
  <c r="DT61" i="1"/>
  <c r="DN22" i="1"/>
  <c r="DT22" i="1"/>
  <c r="DN73" i="1"/>
  <c r="DT73" i="1"/>
  <c r="DN35" i="1"/>
  <c r="DT35" i="1"/>
  <c r="DN165" i="1"/>
  <c r="DT165" i="1"/>
  <c r="DN26" i="1"/>
  <c r="DT26" i="1"/>
  <c r="DN90" i="1"/>
  <c r="DN74" i="1"/>
  <c r="DT74" i="1"/>
  <c r="DN86" i="1"/>
  <c r="DT86" i="1"/>
  <c r="DN208" i="1"/>
  <c r="DT208" i="1"/>
  <c r="DN146" i="1"/>
  <c r="DT146" i="1"/>
  <c r="DN80" i="1"/>
  <c r="DT80" i="1"/>
  <c r="DN33" i="1"/>
  <c r="DT33" i="1"/>
  <c r="DN42" i="1"/>
  <c r="DT42" i="1"/>
  <c r="DN149" i="1"/>
  <c r="DT149" i="1"/>
  <c r="DN134" i="1"/>
  <c r="DT134" i="1"/>
  <c r="DN18" i="1"/>
  <c r="DT18" i="1"/>
  <c r="DN207" i="1"/>
  <c r="DT207" i="1"/>
  <c r="DN192" i="1"/>
  <c r="DT192" i="1"/>
  <c r="DN135" i="1"/>
  <c r="DT135" i="1"/>
  <c r="DN77" i="1"/>
  <c r="DT77" i="1"/>
  <c r="DN54" i="1"/>
  <c r="DT54" i="1"/>
  <c r="DN109" i="1"/>
  <c r="DT109" i="1"/>
  <c r="DN43" i="1"/>
  <c r="DT43" i="1"/>
  <c r="DN15" i="1"/>
  <c r="DT15" i="1"/>
  <c r="DN60" i="1"/>
  <c r="DT60" i="1"/>
  <c r="DN183" i="1"/>
  <c r="DT183" i="1"/>
  <c r="DN201" i="1"/>
  <c r="DT201" i="1"/>
  <c r="DN217" i="1"/>
  <c r="DT217" i="1"/>
  <c r="DN16" i="1"/>
  <c r="DT16" i="1"/>
  <c r="DN150" i="1"/>
  <c r="DT150" i="1"/>
  <c r="DN47" i="1"/>
  <c r="DT47" i="1"/>
  <c r="DN115" i="1"/>
  <c r="DT115" i="1"/>
  <c r="DN87" i="1"/>
  <c r="DT87" i="1"/>
  <c r="DN94" i="1"/>
  <c r="DT94" i="1"/>
  <c r="DN169" i="1"/>
  <c r="DT169" i="1"/>
  <c r="DN269" i="1"/>
  <c r="DT269" i="1"/>
  <c r="DN236" i="1"/>
  <c r="DT236" i="1"/>
  <c r="DN271" i="1"/>
  <c r="DT271" i="1"/>
  <c r="DN241" i="1"/>
  <c r="DT241" i="1"/>
  <c r="DN264" i="1"/>
  <c r="DT264" i="1"/>
  <c r="DN246" i="1"/>
  <c r="DT246" i="1"/>
  <c r="DN229" i="1"/>
  <c r="DT229" i="1"/>
  <c r="DN244" i="1"/>
  <c r="DT244" i="1"/>
  <c r="DN251" i="1"/>
  <c r="DT251" i="1"/>
  <c r="DN238" i="1"/>
  <c r="DT238" i="1"/>
  <c r="DN245" i="1"/>
  <c r="DT245" i="1"/>
  <c r="DN75" i="1"/>
  <c r="DT75" i="1"/>
  <c r="DN48" i="1"/>
  <c r="DT48" i="1"/>
  <c r="DN182" i="1"/>
  <c r="DT182" i="1"/>
  <c r="DN34" i="1"/>
  <c r="DT34" i="1"/>
  <c r="DN158" i="1"/>
  <c r="DT158" i="1"/>
  <c r="DN52" i="1"/>
  <c r="DT52" i="1"/>
  <c r="DN66" i="1"/>
  <c r="DT66" i="1"/>
  <c r="DN140" i="1"/>
  <c r="DT140" i="1"/>
  <c r="DL209" i="1" l="1"/>
  <c r="DL13" i="1"/>
  <c r="DL79" i="1"/>
  <c r="DL112" i="1"/>
  <c r="DL250" i="1"/>
  <c r="DL127" i="1"/>
  <c r="DL133" i="1"/>
  <c r="DL138" i="1"/>
  <c r="DL152" i="1"/>
  <c r="DL205" i="1"/>
  <c r="DL66" i="1"/>
  <c r="DL51" i="1"/>
  <c r="DL160" i="1"/>
  <c r="DL259" i="1"/>
  <c r="DL47" i="1"/>
  <c r="DL196" i="1"/>
  <c r="DL243" i="1"/>
  <c r="DL182" i="1"/>
  <c r="DL26" i="1"/>
  <c r="DL134" i="1"/>
  <c r="DL151" i="1"/>
  <c r="DL128" i="1"/>
  <c r="DL166" i="1"/>
  <c r="DL74" i="1"/>
  <c r="DL162" i="1"/>
  <c r="DL226" i="1"/>
  <c r="DL126" i="1"/>
  <c r="DL261" i="1"/>
  <c r="DL27" i="1"/>
  <c r="DL215" i="1"/>
  <c r="DL23" i="1"/>
  <c r="DL227" i="1"/>
  <c r="DL93" i="1"/>
  <c r="DL123" i="1"/>
  <c r="DL110" i="1"/>
  <c r="DL35" i="1"/>
  <c r="DL54" i="1"/>
  <c r="DL244" i="1"/>
  <c r="DL44" i="1"/>
  <c r="DL99" i="1"/>
  <c r="DL231" i="1"/>
  <c r="DL173" i="1"/>
  <c r="DL14" i="1"/>
  <c r="DL76" i="1"/>
  <c r="DL67" i="1"/>
  <c r="DL224" i="1"/>
  <c r="DL120" i="1"/>
  <c r="DL75" i="1"/>
  <c r="DL159" i="1"/>
  <c r="DL83" i="1"/>
  <c r="DL163" i="1"/>
  <c r="DL149" i="1"/>
  <c r="DL268" i="1"/>
  <c r="DL155" i="1"/>
  <c r="DL59" i="1"/>
  <c r="DL185" i="1"/>
  <c r="DL49" i="1"/>
  <c r="DL129" i="1"/>
  <c r="DL212" i="1"/>
  <c r="DL266" i="1"/>
  <c r="DL176" i="1"/>
  <c r="DL202" i="1"/>
  <c r="DL24" i="1"/>
  <c r="DL178" i="1"/>
  <c r="DL81" i="1"/>
  <c r="DL142" i="1"/>
  <c r="DL190" i="1"/>
  <c r="DL137" i="1"/>
  <c r="DL194" i="1"/>
  <c r="DL188" i="1"/>
  <c r="DL140" i="1"/>
  <c r="DL100" i="1"/>
  <c r="DL60" i="1"/>
  <c r="DL172" i="1"/>
  <c r="DL17" i="1"/>
  <c r="DL164" i="1"/>
  <c r="DL220" i="1"/>
  <c r="DL222" i="1"/>
  <c r="DL143" i="1"/>
  <c r="DL235" i="1"/>
  <c r="DL242" i="1"/>
  <c r="DL91" i="1"/>
  <c r="DL65" i="1"/>
  <c r="DL146" i="1"/>
  <c r="DL122" i="1"/>
  <c r="DL45" i="1"/>
  <c r="DL253" i="1"/>
  <c r="DL101" i="1"/>
  <c r="DL108" i="1"/>
  <c r="DL248" i="1"/>
  <c r="DL217" i="1"/>
  <c r="DL241" i="1"/>
  <c r="DL193" i="1"/>
  <c r="DL229" i="1"/>
  <c r="DL245" i="1"/>
  <c r="DL87" i="1"/>
  <c r="DL246" i="1"/>
  <c r="DL203" i="1"/>
  <c r="DL201" i="1"/>
  <c r="DL252" i="1"/>
  <c r="DL37" i="1"/>
  <c r="DL238" i="1"/>
  <c r="DL7" i="1"/>
  <c r="DL270" i="1"/>
  <c r="DL219" i="1"/>
  <c r="DL116" i="1"/>
  <c r="DL68" i="1"/>
  <c r="DL55" i="1"/>
  <c r="DL210" i="1"/>
  <c r="DL12" i="1"/>
  <c r="DL174" i="1"/>
  <c r="DL168" i="1"/>
  <c r="DL232" i="1"/>
  <c r="DL20" i="1"/>
  <c r="DL254" i="1"/>
  <c r="DL199" i="1"/>
  <c r="DL114" i="1"/>
  <c r="DL237" i="1"/>
  <c r="DL161" i="1"/>
  <c r="DL115" i="1"/>
  <c r="DL84" i="1"/>
  <c r="DL18" i="1"/>
  <c r="DL29" i="1"/>
  <c r="DL57" i="1"/>
  <c r="DL50" i="1"/>
  <c r="DL64" i="1"/>
  <c r="DL30" i="1"/>
  <c r="DL86" i="1"/>
  <c r="DL61" i="1"/>
  <c r="DL94" i="1"/>
  <c r="DL262" i="1"/>
  <c r="DL56" i="1"/>
  <c r="DL192" i="1"/>
  <c r="DL40" i="1"/>
  <c r="DL255" i="1"/>
  <c r="DL214" i="1"/>
  <c r="DL156" i="1"/>
  <c r="DL145" i="1"/>
  <c r="DL19" i="1"/>
  <c r="DL228" i="1"/>
  <c r="DL191" i="1"/>
  <c r="DL247" i="1"/>
  <c r="DL31" i="1"/>
  <c r="DL150" i="1"/>
  <c r="DL107" i="1"/>
  <c r="DL223" i="1"/>
  <c r="DL104" i="1"/>
  <c r="DL103" i="1"/>
  <c r="DL88" i="1"/>
  <c r="DL269" i="1"/>
  <c r="DL200" i="1"/>
  <c r="DL216" i="1"/>
  <c r="DL233" i="1"/>
  <c r="DL225" i="1"/>
  <c r="DL117" i="1"/>
  <c r="DL39" i="1"/>
  <c r="DL189" i="1"/>
  <c r="DL187" i="1"/>
  <c r="DL141" i="1"/>
  <c r="DL147" i="1"/>
  <c r="DL77" i="1"/>
  <c r="DL21" i="1"/>
  <c r="DL125" i="1"/>
  <c r="DL131" i="1"/>
  <c r="DL260" i="1"/>
  <c r="DL106" i="1"/>
  <c r="DL234" i="1"/>
  <c r="DL236" i="1"/>
  <c r="DL80" i="1"/>
  <c r="DL213" i="1"/>
  <c r="DL111" i="1"/>
  <c r="DL211" i="1"/>
  <c r="DL179" i="1"/>
  <c r="DL177" i="1"/>
  <c r="DL38" i="1"/>
  <c r="DL119" i="1"/>
  <c r="DL82" i="1"/>
  <c r="DL9" i="1"/>
  <c r="DL148" i="1"/>
  <c r="DL89" i="1"/>
  <c r="DL92" i="1"/>
  <c r="DL153" i="1"/>
  <c r="DL78" i="1"/>
  <c r="DL95" i="1"/>
  <c r="DL157" i="1"/>
  <c r="DL36" i="1"/>
  <c r="DL170" i="1"/>
  <c r="DL206" i="1"/>
  <c r="DL221" i="1"/>
  <c r="DL62" i="1"/>
  <c r="DL171" i="1"/>
  <c r="DL132" i="1"/>
  <c r="DL165" i="1"/>
  <c r="DL105" i="1"/>
  <c r="DL121" i="1"/>
  <c r="DL186" i="1"/>
  <c r="DL271" i="1"/>
  <c r="DL180" i="1"/>
  <c r="DL167" i="1"/>
  <c r="DL265" i="1"/>
  <c r="DL28" i="1"/>
  <c r="DL181" i="1"/>
  <c r="DL139" i="1"/>
  <c r="DL207" i="1"/>
  <c r="DL240" i="1"/>
  <c r="DL97" i="1"/>
  <c r="DL158" i="1"/>
  <c r="DL239" i="1"/>
  <c r="DL204" i="1"/>
  <c r="DL251" i="1"/>
  <c r="DL72" i="1"/>
  <c r="DL218" i="1"/>
  <c r="DL198" i="1"/>
  <c r="DL230" i="1"/>
  <c r="DL70" i="1"/>
  <c r="DL42" i="1"/>
  <c r="DL63" i="1"/>
  <c r="DL58" i="1"/>
  <c r="DL10" i="1"/>
  <c r="DL118" i="1"/>
  <c r="DL264" i="1"/>
  <c r="DL169" i="1"/>
  <c r="DL48" i="1"/>
  <c r="DL135" i="1"/>
  <c r="DL208" i="1"/>
  <c r="DL263" i="1"/>
  <c r="DL33" i="1"/>
  <c r="DL8" i="1"/>
  <c r="DL15" i="1"/>
  <c r="DL98" i="1"/>
  <c r="DL85" i="1"/>
  <c r="DL184" i="1"/>
  <c r="DL69" i="1"/>
  <c r="DL52" i="1"/>
  <c r="DL136" i="1"/>
  <c r="DL71" i="1"/>
  <c r="DL96" i="1"/>
  <c r="DL197" i="1"/>
  <c r="DL22" i="1"/>
  <c r="DL34" i="1"/>
  <c r="DL53" i="1"/>
  <c r="DL16" i="1"/>
  <c r="DL43" i="1"/>
  <c r="DL154" i="1"/>
  <c r="DL144" i="1"/>
  <c r="DL257" i="1"/>
  <c r="DL249" i="1"/>
  <c r="DL32" i="1"/>
  <c r="DL183" i="1"/>
  <c r="DL195" i="1"/>
  <c r="DL73" i="1"/>
  <c r="DL130" i="1"/>
  <c r="DL41" i="1"/>
  <c r="DL109" i="1"/>
  <c r="DL102" i="1"/>
  <c r="DL11" i="1"/>
  <c r="DL90" i="1"/>
  <c r="DL46" i="1"/>
  <c r="DL175" i="1"/>
  <c r="DL256" i="1"/>
  <c r="DL124" i="1"/>
  <c r="C41" i="3"/>
  <c r="F40" i="3"/>
  <c r="E48" i="3"/>
  <c r="C42" i="3" l="1"/>
  <c r="F41" i="3"/>
  <c r="E49" i="3"/>
  <c r="C43" i="3" l="1"/>
  <c r="F42" i="3"/>
  <c r="E50" i="3"/>
  <c r="C44" i="3" l="1"/>
  <c r="F43" i="3"/>
  <c r="E51" i="3"/>
  <c r="C45" i="3" l="1"/>
  <c r="F44" i="3"/>
  <c r="E52" i="3"/>
  <c r="C46" i="3" l="1"/>
  <c r="F45" i="3"/>
  <c r="E53" i="3"/>
  <c r="C47" i="3" l="1"/>
  <c r="F46" i="3"/>
  <c r="E54" i="3"/>
  <c r="C48" i="3" l="1"/>
  <c r="F47" i="3"/>
  <c r="E55" i="3"/>
  <c r="C49" i="3" l="1"/>
  <c r="F48" i="3"/>
  <c r="E56" i="3"/>
  <c r="C50" i="3" l="1"/>
  <c r="F49" i="3"/>
  <c r="E57" i="3"/>
  <c r="C51" i="3" l="1"/>
  <c r="F50" i="3"/>
  <c r="E58" i="3"/>
  <c r="C52" i="3" l="1"/>
  <c r="F51" i="3"/>
  <c r="E59" i="3"/>
  <c r="C53" i="3" l="1"/>
  <c r="F52" i="3"/>
  <c r="E60" i="3"/>
  <c r="C54" i="3" l="1"/>
  <c r="F53" i="3"/>
  <c r="E61" i="3"/>
  <c r="C55" i="3" l="1"/>
  <c r="F54" i="3"/>
  <c r="E62" i="3"/>
  <c r="C56" i="3" l="1"/>
  <c r="F55" i="3"/>
  <c r="E63" i="3"/>
  <c r="C57" i="3" l="1"/>
  <c r="F56" i="3"/>
  <c r="E64" i="3"/>
  <c r="C58" i="3" l="1"/>
  <c r="F57" i="3"/>
  <c r="E65" i="3"/>
  <c r="C59" i="3" l="1"/>
  <c r="F58" i="3"/>
  <c r="E66" i="3"/>
  <c r="C60" i="3" l="1"/>
  <c r="F59" i="3"/>
  <c r="E67" i="3"/>
  <c r="C61" i="3" l="1"/>
  <c r="F60" i="3"/>
  <c r="E68" i="3"/>
  <c r="C62" i="3" l="1"/>
  <c r="F61" i="3"/>
  <c r="E69" i="3"/>
  <c r="C63" i="3" l="1"/>
  <c r="F62" i="3"/>
  <c r="E70" i="3"/>
  <c r="C64" i="3" l="1"/>
  <c r="F63" i="3"/>
  <c r="E71" i="3"/>
  <c r="C65" i="3" l="1"/>
  <c r="F64" i="3"/>
  <c r="E72" i="3"/>
  <c r="C66" i="3" l="1"/>
  <c r="F65" i="3"/>
  <c r="E73" i="3"/>
  <c r="C67" i="3" l="1"/>
  <c r="F66" i="3"/>
  <c r="E74" i="3"/>
  <c r="C68" i="3" l="1"/>
  <c r="F67" i="3"/>
  <c r="E75" i="3"/>
  <c r="C69" i="3" l="1"/>
  <c r="F68" i="3"/>
  <c r="E76" i="3"/>
  <c r="C70" i="3" l="1"/>
  <c r="F69" i="3"/>
  <c r="E77" i="3"/>
  <c r="C71" i="3" l="1"/>
  <c r="F70" i="3"/>
  <c r="E78" i="3"/>
  <c r="C72" i="3" l="1"/>
  <c r="F71" i="3"/>
  <c r="E79" i="3"/>
  <c r="C73" i="3" l="1"/>
  <c r="F72" i="3"/>
  <c r="E80" i="3"/>
  <c r="C74" i="3" l="1"/>
  <c r="F73" i="3"/>
  <c r="E81" i="3"/>
  <c r="C75" i="3" l="1"/>
  <c r="F74" i="3"/>
  <c r="E82" i="3"/>
  <c r="C76" i="3" l="1"/>
  <c r="F75" i="3"/>
  <c r="E83" i="3"/>
  <c r="C77" i="3" l="1"/>
  <c r="F76" i="3"/>
  <c r="E84" i="3"/>
  <c r="C78" i="3" l="1"/>
  <c r="F77" i="3"/>
  <c r="E85" i="3"/>
  <c r="E86" i="3" s="1"/>
  <c r="E87" i="3" l="1"/>
  <c r="C79" i="3"/>
  <c r="F78" i="3"/>
  <c r="E88" i="3" l="1"/>
  <c r="C80" i="3"/>
  <c r="F79" i="3"/>
  <c r="E89" i="3" l="1"/>
  <c r="C81" i="3"/>
  <c r="F80" i="3"/>
  <c r="E90" i="3" l="1"/>
  <c r="C82" i="3"/>
  <c r="F81" i="3"/>
  <c r="C83" i="3" l="1"/>
  <c r="F82" i="3"/>
  <c r="C84" i="3" l="1"/>
  <c r="F83" i="3"/>
  <c r="C85" i="3" l="1"/>
  <c r="F84" i="3"/>
  <c r="F85" i="3" l="1"/>
  <c r="C86" i="3"/>
  <c r="C87" i="3" l="1"/>
  <c r="F86" i="3"/>
  <c r="C88" i="3" l="1"/>
  <c r="F87" i="3"/>
  <c r="C89" i="3" l="1"/>
  <c r="F88" i="3"/>
  <c r="C90" i="3" l="1"/>
  <c r="F90" i="3" s="1"/>
  <c r="F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tc={4667E766-8B13-4963-90C5-00EA494F17EB}</author>
    <author>tc={2AADC8A0-6556-4698-82D9-A05745C842B9}</author>
    <author>tc={BE4DD2A2-915F-42AA-97E3-FA51957EC212}</author>
    <author>tc={E23C33C0-F13F-40D3-8193-9F914D1BECFB}</author>
    <author>tc={3BC2E484-7B94-4A28-8B52-5CDFA51493D6}</author>
    <author>tc={3836E176-CEBF-4836-89EB-BACB6C5313CF}</author>
    <author>tc={0189F91F-1E42-4E88-9A31-4105B88DFFCF}</author>
    <author>tc={00E2DEF7-96F4-49E3-8AFB-0687B70EE288}</author>
    <author>tc={0DC3A145-F2DB-46EF-8872-E1BDFE8C789B}</author>
    <author>tc={1F2ADDFB-5F5F-4AFF-9760-04E7200835DF}</author>
    <author>tc={2ACA77CC-1B03-4186-8567-E1A88A626D08}</author>
    <author>tc={227A6610-7E29-44F1-8F22-F180E7B3F0B8}</author>
    <author>tc={EC25A0D7-A92B-4AA8-82D3-593D8ADB1C1F}</author>
    <author>tc={36038BBE-7D50-4DC9-AFAB-B5E40E265C2B}</author>
    <author>tc={0EBD262C-89AF-4D38-97F8-BB08EEDDF58B}</author>
    <author>tc={ED5726E3-E34A-4CDD-A838-60BD8CB7D800}</author>
    <author>tc={790EDA17-8460-4363-B733-BF0326319006}</author>
    <author>tc={0023DB0C-C49E-4E5F-8B32-E73FD4E5BB27}</author>
    <author>tc={DBBD9465-E39B-4989-A376-AC2A17EBF979}</author>
    <author>tc={5578A74D-4F8E-4EAA-9499-DDB8142D75DB}</author>
    <author>tc={0BF566B3-8EF2-4CEA-B093-0D6EEC5AD4BB}</author>
  </authors>
  <commentList>
    <comment ref="D2" authorId="0" shapeId="0" xr:uid="{4667E766-8B13-4963-90C5-00EA494F17E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 authorId="1" shapeId="0" xr:uid="{2AADC8A0-6556-4698-82D9-A05745C842B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9" authorId="2" shapeId="0" xr:uid="{BE4DD2A2-915F-42AA-97E3-FA51957EC212}">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10" authorId="3" shapeId="0" xr:uid="{E23C33C0-F13F-40D3-8193-9F914D1BECF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11" authorId="4" shapeId="0" xr:uid="{3BC2E484-7B94-4A28-8B52-5CDFA51493D6}">
      <text>
        <t>[Comentário encadeado]
Sua versão do Excel permite que você leia este comentário encadeado, no entanto, as edições serão removidas se o arquivo for aberto em uma versão mais recente do Excel. Saiba mais: https://go.microsoft.com/fwlink/?linkid=870924
Comentário:
    jardineiro</t>
      </text>
    </comment>
    <comment ref="D15" authorId="5" shapeId="0" xr:uid="{3836E176-CEBF-4836-89EB-BACB6C5313CF}">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 ref="D17" authorId="6" shapeId="0" xr:uid="{0189F91F-1E42-4E88-9A31-4105B88DFFCF}">
      <text>
        <t>[Comentário encadeado]
Sua versão do Excel permite que você leia este comentário encadeado, no entanto, as edições serão removidas se o arquivo for aberto em uma versão mais recente do Excel. Saiba mais: https://go.microsoft.com/fwlink/?linkid=870924
Comentário:
    Ajuste de saldo</t>
      </text>
    </comment>
    <comment ref="D19" authorId="7" shapeId="0" xr:uid="{00E2DEF7-96F4-49E3-8AFB-0687B70EE288}">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33" authorId="8" shapeId="0" xr:uid="{0DC3A145-F2DB-46EF-8872-E1BDFE8C789B}">
      <text>
        <t>[Comentário encadeado]
Sua versão do Excel permite que você leia este comentário encadeado, no entanto, as edições serão removidas se o arquivo for aberto em uma versão mais recente do Excel. Saiba mais: https://go.microsoft.com/fwlink/?linkid=870924
Comentário:
    advogado</t>
      </text>
    </comment>
    <comment ref="D39" authorId="9" shapeId="0" xr:uid="{1F2ADDFB-5F5F-4AFF-9760-04E7200835DF}">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40" authorId="10" shapeId="0" xr:uid="{2ACA77CC-1B03-4186-8567-E1A88A626D08}">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41" authorId="11" shapeId="0" xr:uid="{227A6610-7E29-44F1-8F22-F180E7B3F0B8}">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47" authorId="12" shapeId="0" xr:uid="{EC25A0D7-A92B-4AA8-82D3-593D8ADB1C1F}">
      <text>
        <t>[Comentário encadeado]
Sua versão do Excel permite que você leia este comentário encadeado, no entanto, as edições serão removidas se o arquivo for aberto em uma versão mais recente do Excel. Saiba mais: https://go.microsoft.com/fwlink/?linkid=870924
Comentário:
    internet</t>
      </text>
    </comment>
    <comment ref="D48" authorId="13" shapeId="0" xr:uid="{36038BBE-7D50-4DC9-AFAB-B5E40E265C2B}">
      <text>
        <t>[Comentário encadeado]
Sua versão do Excel permite que você leia este comentário encadeado, no entanto, as edições serão removidas se o arquivo for aberto em uma versão mais recente do Excel. Saiba mais: https://go.microsoft.com/fwlink/?linkid=870924
Comentário:
    Pano de saúde</t>
      </text>
    </comment>
    <comment ref="D60" authorId="14" shapeId="0" xr:uid="{0EBD262C-89AF-4D38-97F8-BB08EEDDF58B}">
      <text>
        <t>[Comentário encadeado]
Sua versão do Excel permite que você leia este comentário encadeado, no entanto, as edições serão removidas se o arquivo for aberto em uma versão mais recente do Excel. Saiba mais: https://go.microsoft.com/fwlink/?linkid=870924
Comentário:
    luz</t>
      </text>
    </comment>
    <comment ref="D61" authorId="15" shapeId="0" xr:uid="{ED5726E3-E34A-4CDD-A838-60BD8CB7D80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Internet
</t>
      </text>
    </comment>
    <comment ref="D62" authorId="16" shapeId="0" xr:uid="{790EDA17-8460-4363-B733-BF0326319006}">
      <text>
        <t>[Comentário encadeado]
Sua versão do Excel permite que você leia este comentário encadeado, no entanto, as edições serão removidas se o arquivo for aberto em uma versão mais recente do Excel. Saiba mais: https://go.microsoft.com/fwlink/?linkid=870924
Comentário:
    Agua</t>
      </text>
    </comment>
    <comment ref="D63" authorId="17" shapeId="0" xr:uid="{0023DB0C-C49E-4E5F-8B32-E73FD4E5BB27}">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Advogado
</t>
      </text>
    </comment>
    <comment ref="D68" authorId="18" shapeId="0" xr:uid="{DBBD9465-E39B-4989-A376-AC2A17EBF979}">
      <text>
        <t>[Comentário encadeado]
Sua versão do Excel permite que você leia este comentário encadeado, no entanto, as edições serão removidas se o arquivo for aberto em uma versão mais recente do Excel. Saiba mais: https://go.microsoft.com/fwlink/?linkid=870924
Comentário:
    advogada</t>
      </text>
    </comment>
    <comment ref="D71" authorId="19" shapeId="0" xr:uid="{5578A74D-4F8E-4EAA-9499-DDB8142D75DB}">
      <text>
        <t>[Comentário encadeado]
Sua versão do Excel permite que você leia este comentário encadeado, no entanto, as edições serão removidas se o arquivo for aberto em uma versão mais recente do Excel. Saiba mais: https://go.microsoft.com/fwlink/?linkid=870924
Comentário:
    arthur</t>
      </text>
    </comment>
    <comment ref="D78" authorId="20" shapeId="0" xr:uid="{0BF566B3-8EF2-4CEA-B093-0D6EEC5AD4BB}">
      <text>
        <t>[Comentário encadeado]
Sua versão do Excel permite que você leia este comentário encadeado, no entanto, as edições serão removidas se o arquivo for aberto em uma versão mais recente do Excel. Saiba mais: https://go.microsoft.com/fwlink/?linkid=870924
Comentário:
    Plano de saúde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<sst xmlns="http://schemas.openxmlformats.org/spreadsheetml/2006/main" count="829" uniqueCount="528">
  <si>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</si>
  <si>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</si>
  <si>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</si>
  <si>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</si>
  <si>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</si>
  <si>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</si>
  <si>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</si>
  <si>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</si>
  <si>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</si>
  <si>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</si>
  <si>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</si>
  <si>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</si>
  <si>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</si>
  <si>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</si>
  <si>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</si>
  <si>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</si>
  <si>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</si>
  <si>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</si>
  <si>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</si>
  <si>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</si>
  <si>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</si>
  <si>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</si>
  <si>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</si>
  <si>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</si>
  <si>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</si>
  <si>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</si>
  <si>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</si>
  <si>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</si>
  <si>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</si>
  <si>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</si>
  <si>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</si>
  <si>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</si>
  <si>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</si>
  <si>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</si>
  <si>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</si>
  <si>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</si>
  <si>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</si>
  <si>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</si>
  <si>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</si>
  <si>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</si>
  <si>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</si>
  <si>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</si>
  <si>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</si>
  <si>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</si>
  <si>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</si>
  <si>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</si>
  <si>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</si>
  <si>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</si>
  <si>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</si>
  <si>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</si>
  <si>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</si>
  <si>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</si>
  <si>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</si>
  <si>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</si>
  <si>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</si>
  <si>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</si>
  <si>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</si>
  <si>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</si>
  <si>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</si>
  <si>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</si>
  <si>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</si>
  <si>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</si>
  <si>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</si>
  <si>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</si>
  <si>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</si>
  <si>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</si>
  <si>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</si>
  <si>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</si>
  <si>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</si>
  <si>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</si>
  <si>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</si>
  <si>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</si>
  <si>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</si>
  <si>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</si>
  <si>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</si>
  <si>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</si>
  <si>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</si>
  <si>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</si>
  <si>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</si>
  <si>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</si>
  <si>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</si>
  <si>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</si>
  <si>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</si>
  <si>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</si>
  <si>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</si>
  <si>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</si>
  <si>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</si>
  <si>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</si>
  <si>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</si>
  <si>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</si>
  <si>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</si>
  <si>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</si>
  <si>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</si>
  <si>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</si>
  <si>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</si>
  <si>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</si>
  <si>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</si>
  <si>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</si>
  <si>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</si>
  <si>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</si>
  <si>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</si>
  <si>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</si>
  <si>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</si>
  <si>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</si>
  <si>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</si>
  <si>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</si>
  <si>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</si>
  <si>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</si>
  <si>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</si>
  <si>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</si>
  <si>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</si>
  <si>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</si>
  <si>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</si>
  <si>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</si>
  <si>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</si>
  <si>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</si>
  <si>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</si>
  <si>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</si>
  <si>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</si>
  <si>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</si>
  <si>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</si>
  <si>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</si>
  <si>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</si>
  <si>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</si>
  <si>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</si>
  <si>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</si>
  <si>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</si>
  <si>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</si>
  <si>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</si>
  <si>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</si>
  <si>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</si>
  <si>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</si>
  <si>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</si>
  <si>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</si>
  <si>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</si>
  <si>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</si>
  <si>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</si>
  <si>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</si>
  <si>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</si>
  <si>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</si>
  <si>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</si>
  <si>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</si>
  <si>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</si>
  <si>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</si>
  <si>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</si>
  <si>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</si>
  <si>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</si>
  <si>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</si>
  <si>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</si>
  <si>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</si>
  <si>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</si>
  <si>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</si>
  <si>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</si>
  <si>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</si>
  <si>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</si>
  <si>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</si>
  <si>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</si>
  <si>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</si>
  <si>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</si>
  <si>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</si>
  <si>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</si>
  <si>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</si>
  <si>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</si>
  <si>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</si>
  <si>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</si>
  <si>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</si>
  <si>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</si>
  <si>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</si>
  <si>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</si>
  <si>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</si>
  <si>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</si>
  <si>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</si>
  <si>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</si>
  <si>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</si>
  <si>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</si>
  <si>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</si>
  <si>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</si>
  <si>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</si>
  <si>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</si>
  <si>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</si>
  <si>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</si>
  <si>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</si>
  <si>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</si>
  <si>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</si>
  <si>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</si>
  <si>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</si>
  <si>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</si>
  <si>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</si>
  <si>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</si>
  <si>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</si>
  <si>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</si>
  <si>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</si>
  <si>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</si>
  <si>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</si>
  <si>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</si>
  <si>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</si>
  <si>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</si>
  <si>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</si>
  <si>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</si>
  <si>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</si>
  <si>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</si>
  <si>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</si>
  <si>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</si>
  <si>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</si>
  <si>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</si>
  <si>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</si>
  <si>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</si>
  <si>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</si>
  <si>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</si>
  <si>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</si>
  <si>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</si>
  <si>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</si>
  <si>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</si>
  <si>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</si>
  <si>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</si>
  <si>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</si>
  <si>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</si>
  <si>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</si>
  <si>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</si>
  <si>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</si>
  <si>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</si>
  <si>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</si>
  <si>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</si>
  <si>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</si>
  <si>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</si>
  <si>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</si>
  <si>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</si>
  <si>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</si>
  <si>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</si>
  <si>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</si>
  <si>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</si>
  <si>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</si>
  <si>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</si>
  <si>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</si>
  <si>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</si>
  <si>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</si>
  <si>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</si>
  <si>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</si>
  <si>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</si>
  <si>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</si>
  <si>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</si>
  <si>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</si>
  <si>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</si>
  <si>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</si>
  <si>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</si>
  <si>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</si>
  <si>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</si>
  <si>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</si>
  <si>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</si>
  <si>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</si>
  <si>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</si>
  <si>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</si>
  <si>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</si>
  <si>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</si>
  <si>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</si>
  <si>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</si>
  <si>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</si>
  <si>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</si>
  <si>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</si>
  <si>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</si>
  <si>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</si>
  <si>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</si>
  <si>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</si>
  <si>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</si>
  <si>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</si>
  <si>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</si>
  <si>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</si>
  <si>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</si>
  <si>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</si>
  <si>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</si>
  <si>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</si>
  <si>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</si>
  <si>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</si>
  <si>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</si>
  <si>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</si>
  <si>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</si>
  <si>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</si>
  <si>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</si>
  <si>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Projeção</t>
  </si>
  <si>
    <t>Maior</t>
  </si>
  <si>
    <t>k(17)</t>
  </si>
  <si>
    <t>k (33)</t>
  </si>
  <si>
    <t>k (65)</t>
  </si>
  <si>
    <t>k (17)</t>
  </si>
  <si>
    <t>k (65</t>
  </si>
  <si>
    <t>Volume</t>
  </si>
  <si>
    <t>Clear</t>
  </si>
  <si>
    <t>Toro</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</si>
  <si>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</si>
  <si>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</si>
  <si>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</si>
  <si>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</si>
  <si>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</si>
  <si>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</si>
  <si>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</si>
  <si>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</si>
  <si>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</si>
  <si>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</si>
  <si>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</si>
  <si>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</si>
  <si>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</si>
  <si>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</si>
  <si>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</si>
  <si>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</si>
  <si>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</si>
  <si>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</si>
  <si>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</si>
  <si>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</si>
  <si>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</si>
  <si>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</si>
  <si>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</si>
  <si>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</si>
  <si>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</si>
  <si>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</si>
  <si>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</si>
  <si>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AHEB6</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</si>
  <si>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</si>
  <si>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</si>
  <si>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</si>
  <si>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</si>
  <si>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</si>
  <si>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</si>
  <si>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</si>
  <si>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</si>
  <si>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</si>
  <si>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</si>
  <si>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</si>
  <si>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</si>
  <si>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</si>
  <si>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</si>
  <si>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</si>
  <si>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</si>
  <si>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</si>
  <si>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</si>
  <si>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</si>
  <si>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</si>
  <si>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</si>
  <si>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</si>
  <si>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</si>
  <si>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</si>
  <si>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</si>
  <si>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</si>
  <si>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</si>
  <si>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</si>
  <si>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</si>
  <si>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</si>
  <si>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</si>
  <si>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</si>
  <si>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</si>
  <si>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</si>
  <si>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</si>
  <si>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</si>
  <si>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</si>
  <si>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</si>
  <si>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</si>
  <si>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</si>
  <si>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</si>
  <si>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</si>
  <si>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</si>
  <si>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</si>
  <si>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</si>
  <si>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</si>
  <si>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</si>
  <si>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</si>
  <si>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</si>
  <si>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</si>
  <si>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</si>
  <si>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</si>
  <si>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</si>
  <si>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</si>
  <si>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</si>
  <si>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</si>
  <si>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</si>
  <si>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</si>
  <si>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</si>
  <si>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</si>
  <si>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</si>
  <si>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</si>
  <si>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</si>
  <si>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</si>
  <si>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</si>
  <si>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</si>
  <si>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</si>
  <si>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</si>
  <si>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</si>
  <si>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</si>
  <si>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</si>
  <si>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</si>
  <si>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</si>
  <si>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</si>
  <si>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</si>
  <si>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</si>
  <si>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</si>
  <si>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</si>
  <si>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</si>
  <si>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</si>
  <si>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</si>
  <si>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</si>
  <si>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</si>
  <si>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</si>
  <si>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</si>
  <si>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</si>
  <si>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</si>
  <si>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</si>
  <si>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</si>
  <si>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</si>
  <si>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</si>
  <si>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</si>
  <si>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</si>
  <si>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</si>
  <si>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</si>
  <si>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</si>
  <si>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</si>
  <si>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</si>
  <si>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</si>
  <si>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</si>
  <si>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</si>
  <si>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</si>
  <si>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</si>
  <si>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</si>
  <si>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MERC4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</si>
  <si>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</si>
  <si>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</si>
  <si>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</si>
  <si>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</si>
  <si>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</si>
  <si>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</si>
  <si>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</si>
  <si>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</si>
  <si>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</si>
  <si>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</si>
  <si>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</si>
  <si>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</si>
  <si>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</si>
  <si>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</si>
  <si>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</si>
  <si>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</si>
  <si>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</si>
  <si>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</si>
  <si>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</si>
  <si>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</si>
  <si>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</si>
  <si>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</si>
  <si>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</si>
  <si>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</si>
  <si>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</si>
  <si>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</si>
  <si>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</si>
  <si>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</si>
  <si>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</si>
  <si>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</si>
  <si>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</si>
  <si>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</si>
  <si>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</si>
  <si>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</si>
  <si>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</si>
  <si>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</si>
  <si>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</si>
  <si>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</si>
  <si>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</si>
  <si>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</si>
  <si>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</si>
  <si>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</si>
  <si>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</si>
  <si>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</si>
  <si>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</si>
  <si>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</si>
  <si>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</si>
  <si>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</si>
  <si>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</si>
  <si>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</si>
  <si>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</si>
  <si>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</si>
  <si>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</si>
  <si>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</si>
  <si>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RENTABILIDADE</t>
  </si>
  <si>
    <t>ROIC (capital)</t>
  </si>
  <si>
    <t>ENDIVIDAMENTO E SOLIDEZ</t>
  </si>
  <si>
    <t>Caixa (Liq. Corr)</t>
  </si>
  <si>
    <t>Lucro</t>
  </si>
  <si>
    <t>Valor Patr.</t>
  </si>
  <si>
    <t>Cap. Giro</t>
  </si>
  <si>
    <t>VALUATION (P/)</t>
  </si>
  <si>
    <t xml:space="preserve"> </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</si>
  <si>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</si>
  <si>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</si>
  <si>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</si>
  <si>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</si>
  <si>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</si>
  <si>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</si>
  <si>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</si>
  <si>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</si>
  <si>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</si>
  <si>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</si>
  <si>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</si>
  <si>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</si>
  <si>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</si>
  <si>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</si>
  <si>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</si>
  <si>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</si>
  <si>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</si>
  <si>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</si>
  <si>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</si>
  <si>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Previsão</t>
  </si>
  <si>
    <t>(-)</t>
  </si>
  <si>
    <t>(+)</t>
  </si>
  <si>
    <t>S Ibov</t>
  </si>
  <si>
    <t>S Var (%)</t>
  </si>
  <si>
    <t>Itaú</t>
  </si>
  <si>
    <t>Santander</t>
  </si>
  <si>
    <t>BTG Pactual</t>
  </si>
  <si>
    <t>-</t>
  </si>
  <si>
    <t>Santander Corr.</t>
  </si>
  <si>
    <t>Posição</t>
  </si>
  <si>
    <t>Pm</t>
  </si>
  <si>
    <t>GOLD11</t>
  </si>
  <si>
    <t>CTAX3</t>
  </si>
  <si>
    <t>MWET3</t>
  </si>
  <si>
    <t>ELET5</t>
  </si>
  <si>
    <t xml:space="preserve">   </t>
  </si>
  <si>
    <t>Hoje</t>
  </si>
  <si>
    <t>Ontem</t>
  </si>
  <si>
    <t>Acm (%)</t>
  </si>
  <si>
    <t/>
  </si>
  <si>
    <t>Spread (%)</t>
  </si>
  <si>
    <t>trf55                                               ç4444444444444445x</t>
  </si>
  <si>
    <t>excell</t>
  </si>
  <si>
    <t>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</si>
</sst>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s>
  <fonts count="22"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b/>
      <sz val="8"/>
      <color theme="7" tint="-0.249977111117893"/>
      <name val="Calibri"/>
      <family val="2"/>
      <scheme val="minor"/>
    </font>
    <font>
      <u/>
      <sz val="11"/>
      <color theme="1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10">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16" fontId="0" fillId="0" borderId="0" xfId="0" applyNumberFormat="1"/>
    <xf numFmtId="0" fontId="0" fillId="0" borderId="0" xfId="0" applyAlignment="1">
      <alignment horizontal="center"/>
    </xf>
    <xf numFmtId="0" fontId="0" fillId="3" borderId="0" xfId="0" applyFill="1"/>
    <xf numFmtId="0" fontId="0" fillId="3" borderId="0" xfId="0" applyFill="1"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16" fontId="0" fillId="2" borderId="0" xfId="0" applyNumberFormat="1" applyFill="1"/>
    <xf numFmtId="14" fontId="11" fillId="0" borderId="0" xfId="0" applyNumberFormat="1" applyFont="1"/>
    <xf numFmtId="164" fontId="0" fillId="4" borderId="0" xfId="0" applyNumberFormat="1" applyFill="1" applyAlignment="1">
      <alignment horizontal="left"/>
    </xf>
    <xf numFmtId="0" fontId="12" fillId="0" borderId="0" xfId="0" applyFont="1"/>
    <xf numFmtId="10" fontId="2" fillId="5" borderId="1" xfId="0" applyNumberFormat="1" applyFont="1" applyFill="1" applyBorder="1" applyAlignment="1">
      <alignment horizontal="center"/>
    </xf>
    <xf numFmtId="0" fontId="13" fillId="3" borderId="0" xfId="0" applyFont="1" applyFill="1" applyAlignment="1">
      <alignment horizontal="center"/>
    </xf>
    <xf numFmtId="2" fontId="14" fillId="0" borderId="0" xfId="0" applyNumberFormat="1" applyFont="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5"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5" borderId="2" xfId="0" applyNumberFormat="1" applyFont="1" applyFill="1" applyBorder="1" applyAlignment="1">
      <alignment horizontal="center"/>
    </xf>
    <xf numFmtId="10" fontId="16" fillId="6" borderId="1" xfId="0" applyNumberFormat="1" applyFont="1" applyFill="1" applyBorder="1" applyAlignment="1">
      <alignment horizontal="center"/>
    </xf>
    <xf numFmtId="164" fontId="18" fillId="6" borderId="1" xfId="0" applyNumberFormat="1" applyFont="1" applyFill="1" applyBorder="1" applyAlignment="1">
      <alignment horizontal="center"/>
    </xf>
    <xf numFmtId="10" fontId="18" fillId="6" borderId="1" xfId="0" applyNumberFormat="1" applyFont="1" applyFill="1" applyBorder="1" applyAlignment="1">
      <alignment horizontal="center"/>
    </xf>
    <xf numFmtId="164" fontId="2" fillId="6" borderId="1" xfId="0" applyNumberFormat="1" applyFont="1" applyFill="1" applyBorder="1" applyAlignment="1">
      <alignment horizontal="center"/>
    </xf>
    <xf numFmtId="3" fontId="1" fillId="6" borderId="1" xfId="0" applyNumberFormat="1" applyFont="1" applyFill="1" applyBorder="1" applyAlignment="1">
      <alignment horizontal="center"/>
    </xf>
    <xf numFmtId="10" fontId="2" fillId="0" borderId="0" xfId="0" applyNumberFormat="1" applyFont="1"/>
    <xf numFmtId="164" fontId="6" fillId="6" borderId="0" xfId="0" applyNumberFormat="1" applyFont="1" applyFill="1" applyAlignment="1">
      <alignment horizontal="center"/>
    </xf>
    <xf numFmtId="0" fontId="12" fillId="0" borderId="0" xfId="0" applyFont="1" applyAlignment="1">
      <alignment horizontal="center"/>
    </xf>
    <xf numFmtId="164" fontId="2" fillId="0" borderId="1" xfId="0" applyNumberFormat="1" applyFont="1" applyBorder="1" applyAlignment="1">
      <alignment horizontal="center"/>
    </xf>
    <xf numFmtId="10" fontId="16" fillId="6"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8" fillId="6" borderId="3" xfId="0" applyNumberFormat="1" applyFont="1" applyFill="1" applyBorder="1" applyAlignment="1">
      <alignment horizontal="center"/>
    </xf>
    <xf numFmtId="10" fontId="18" fillId="6" borderId="3" xfId="0" applyNumberFormat="1" applyFont="1" applyFill="1" applyBorder="1" applyAlignment="1">
      <alignment horizontal="center"/>
    </xf>
    <xf numFmtId="4" fontId="1" fillId="5" borderId="3" xfId="0" applyNumberFormat="1" applyFont="1" applyFill="1" applyBorder="1" applyAlignment="1">
      <alignment horizontal="center"/>
    </xf>
    <xf numFmtId="10" fontId="16" fillId="6" borderId="2" xfId="0" applyNumberFormat="1" applyFont="1" applyFill="1" applyBorder="1" applyAlignment="1">
      <alignment horizontal="center"/>
    </xf>
    <xf numFmtId="10" fontId="2" fillId="0" borderId="2" xfId="0" applyNumberFormat="1" applyFont="1" applyBorder="1" applyAlignment="1">
      <alignment horizontal="center"/>
    </xf>
    <xf numFmtId="164" fontId="15" fillId="2" borderId="2" xfId="0" applyNumberFormat="1" applyFont="1" applyFill="1" applyBorder="1" applyAlignment="1">
      <alignment horizontal="center"/>
    </xf>
    <xf numFmtId="10" fontId="18" fillId="6" borderId="2" xfId="0" applyNumberFormat="1" applyFont="1" applyFill="1" applyBorder="1" applyAlignment="1">
      <alignment horizontal="center"/>
    </xf>
    <xf numFmtId="164" fontId="18" fillId="6"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6" borderId="1" xfId="0" applyNumberFormat="1" applyFont="1" applyFill="1" applyBorder="1" applyAlignment="1">
      <alignment horizontal="center"/>
    </xf>
    <xf numFmtId="164" fontId="19" fillId="0" borderId="1" xfId="0" applyNumberFormat="1" applyFont="1" applyBorder="1" applyAlignment="1">
      <alignment horizontal="center"/>
    </xf>
    <xf numFmtId="164" fontId="19" fillId="6" borderId="1" xfId="0" applyNumberFormat="1" applyFont="1" applyFill="1" applyBorder="1" applyAlignment="1">
      <alignment horizontal="center"/>
    </xf>
    <xf numFmtId="10" fontId="19" fillId="0" borderId="1" xfId="0" applyNumberFormat="1" applyFont="1" applyBorder="1" applyAlignment="1">
      <alignment horizontal="center"/>
    </xf>
    <xf numFmtId="164" fontId="2" fillId="6" borderId="0" xfId="0" applyNumberFormat="1" applyFont="1" applyFill="1" applyAlignment="1">
      <alignment horizontal="center"/>
    </xf>
    <xf numFmtId="8" fontId="0" fillId="0" borderId="0" xfId="0" applyNumberFormat="1"/>
    <xf numFmtId="6" fontId="0" fillId="0" borderId="0" xfId="0" applyNumberFormat="1"/>
    <xf numFmtId="0" fontId="17" fillId="0" borderId="0" xfId="0" applyFont="1"/>
    <xf numFmtId="164" fontId="14"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4" fontId="2" fillId="6" borderId="1" xfId="0" applyNumberFormat="1" applyFont="1" applyFill="1" applyBorder="1" applyAlignment="1">
      <alignment horizontal="center"/>
    </xf>
    <xf numFmtId="0" fontId="11" fillId="7" borderId="0" xfId="0" applyFont="1" applyFill="1" applyAlignment="1">
      <alignment horizontal="center"/>
    </xf>
    <xf numFmtId="14" fontId="11" fillId="0" borderId="0" xfId="0" applyNumberFormat="1" applyFont="1" applyAlignment="1">
      <alignment horizontal="center"/>
    </xf>
    <xf numFmtId="0" fontId="1" fillId="0" borderId="0" xfId="0" applyFont="1" applyAlignment="1">
      <alignment horizontal="left"/>
    </xf>
    <xf numFmtId="164" fontId="6" fillId="5" borderId="1" xfId="0" applyNumberFormat="1" applyFont="1" applyFill="1" applyBorder="1" applyAlignment="1">
      <alignment horizontal="center"/>
    </xf>
    <xf numFmtId="164" fontId="6" fillId="6"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5" borderId="1" xfId="0" applyNumberFormat="1" applyFont="1" applyFill="1" applyBorder="1" applyAlignment="1">
      <alignment horizontal="center"/>
    </xf>
    <xf numFmtId="164" fontId="20" fillId="0" borderId="1" xfId="0" applyNumberFormat="1" applyFont="1" applyBorder="1" applyAlignment="1">
      <alignment horizontal="center"/>
    </xf>
    <xf numFmtId="164" fontId="5" fillId="5" borderId="1" xfId="0" applyNumberFormat="1" applyFont="1" applyFill="1" applyBorder="1" applyAlignment="1">
      <alignment horizontal="center"/>
    </xf>
    <xf numFmtId="10" fontId="8" fillId="6" borderId="1" xfId="0" applyNumberFormat="1" applyFont="1" applyFill="1" applyBorder="1" applyAlignment="1">
      <alignment horizontal="center"/>
    </xf>
    <xf numFmtId="2" fontId="5" fillId="6" borderId="1" xfId="0" applyNumberFormat="1" applyFont="1" applyFill="1" applyBorder="1" applyAlignment="1">
      <alignment horizontal="center"/>
    </xf>
    <xf numFmtId="2" fontId="3" fillId="0" borderId="0" xfId="0" applyNumberFormat="1" applyFont="1" applyAlignment="1">
      <alignment horizontal="center"/>
    </xf>
    <xf numFmtId="10" fontId="5" fillId="0" borderId="0" xfId="0" applyNumberFormat="1" applyFont="1"/>
    <xf numFmtId="2" fontId="5" fillId="0" borderId="1" xfId="0" applyNumberFormat="1" applyFont="1" applyBorder="1" applyAlignment="1">
      <alignment horizontal="center"/>
    </xf>
    <xf numFmtId="2" fontId="2" fillId="6" borderId="1" xfId="0" applyNumberFormat="1" applyFont="1" applyFill="1" applyBorder="1" applyAlignment="1">
      <alignment horizontal="center"/>
    </xf>
    <xf numFmtId="4" fontId="1" fillId="6" borderId="1" xfId="0" applyNumberFormat="1" applyFont="1" applyFill="1" applyBorder="1" applyAlignment="1">
      <alignment horizontal="center"/>
    </xf>
    <xf numFmtId="10" fontId="6" fillId="6" borderId="2" xfId="0" applyNumberFormat="1" applyFont="1" applyFill="1" applyBorder="1" applyAlignment="1">
      <alignment horizontal="center"/>
    </xf>
    <xf numFmtId="10" fontId="6" fillId="6" borderId="1" xfId="0" applyNumberFormat="1" applyFont="1" applyFill="1" applyBorder="1" applyAlignment="1">
      <alignment horizontal="center"/>
    </xf>
    <xf numFmtId="10" fontId="19" fillId="6" borderId="1" xfId="0" applyNumberFormat="1" applyFont="1" applyFill="1" applyBorder="1" applyAlignment="1">
      <alignment horizontal="center"/>
    </xf>
    <xf numFmtId="10" fontId="6" fillId="6" borderId="3" xfId="0" applyNumberFormat="1" applyFont="1" applyFill="1" applyBorder="1" applyAlignment="1">
      <alignment horizontal="center"/>
    </xf>
    <xf numFmtId="169" fontId="2" fillId="0" borderId="0" xfId="0" applyNumberFormat="1" applyFont="1" applyAlignment="1">
      <alignment horizontal="center"/>
    </xf>
    <xf numFmtId="4" fontId="2" fillId="5" borderId="1" xfId="0" applyNumberFormat="1" applyFont="1" applyFill="1" applyBorder="1" applyAlignment="1">
      <alignment horizontal="center"/>
    </xf>
    <xf numFmtId="164" fontId="1" fillId="0" borderId="4" xfId="0" applyNumberFormat="1" applyFont="1" applyBorder="1" applyAlignment="1">
      <alignment horizontal="center"/>
    </xf>
    <xf numFmtId="4" fontId="2" fillId="0" borderId="5" xfId="0" applyNumberFormat="1" applyFont="1" applyBorder="1" applyAlignment="1">
      <alignment horizontal="center"/>
    </xf>
    <xf numFmtId="4" fontId="2" fillId="0" borderId="0" xfId="0" applyNumberFormat="1" applyFont="1" applyAlignment="1">
      <alignment horizontal="center"/>
    </xf>
    <xf numFmtId="4" fontId="1" fillId="0" borderId="0" xfId="0" applyNumberFormat="1" applyFont="1" applyAlignment="1">
      <alignment horizontal="center"/>
    </xf>
    <xf numFmtId="10" fontId="14" fillId="6" borderId="1" xfId="0" applyNumberFormat="1" applyFont="1" applyFill="1" applyBorder="1" applyAlignment="1">
      <alignment horizontal="center"/>
    </xf>
    <xf numFmtId="0" fontId="2" fillId="0" borderId="0" xfId="0" quotePrefix="1" applyFont="1" applyAlignment="1">
      <alignment horizontal="center"/>
    </xf>
    <xf numFmtId="164" fontId="11" fillId="5" borderId="0" xfId="0" applyNumberFormat="1" applyFont="1" applyFill="1"/>
    <xf numFmtId="10" fontId="21" fillId="0" borderId="0" xfId="1" applyNumberFormat="1" applyAlignment="1">
      <alignment horizontal="center"/>
    </xf>
    <xf numFmtId="4" fontId="2" fillId="0" borderId="1" xfId="0" applyNumberFormat="1" applyFont="1" applyBorder="1" applyAlignment="1">
      <alignment horizontal="center"/>
    </xf>
    <xf numFmtId="14" fontId="0" fillId="0" borderId="0" xfId="0" applyNumberFormat="1"/>
    <xf numFmtId="0" fontId="2" fillId="0" borderId="0" xfId="0" applyFont="1" applyAlignment="1">
      <alignment horizontal="center"/>
    </xf>
  </cellXfs>
  <cellStyles count="2">
    <cellStyle name="Hiperlink" xfId="1" builtinId="8"/>
    <cellStyle name="Normal" xfId="0" builtinId="0"/>
  </cellStyles>
  <dxfs count="63">
    <dxf>
      <font>
        <color theme="0"/>
      </font>
      <fill>
        <patternFill>
          <bgColor rgb="FFFF0000"/>
        </patternFill>
      </fill>
    </dxf>
    <dxf>
      <font>
        <color theme="0"/>
      </font>
      <fill>
        <patternFill>
          <bgColor rgb="FFFF0000"/>
        </patternFill>
      </fill>
    </dxf>
    <dxf>
      <font>
        <color theme="0"/>
      </font>
      <fill>
        <patternFill>
          <bgColor theme="5" tint="0.39994506668294322"/>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ill>
        <patternFill>
          <bgColor theme="9" tint="0.59996337778862885"/>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theme="0"/>
      </font>
      <fill>
        <patternFill patternType="solid">
          <bgColor rgb="FF00B050"/>
        </patternFill>
      </fill>
    </dxf>
    <dxf>
      <font>
        <b/>
        <i val="0"/>
        <color theme="0"/>
      </font>
      <fill>
        <patternFill>
          <bgColor rgb="FF00B050"/>
        </patternFill>
      </fill>
    </dxf>
    <dxf>
      <font>
        <b/>
        <i val="0"/>
        <color theme="0"/>
      </font>
      <fill>
        <patternFill>
          <bgColor rgb="FF00B05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auto="1"/>
      </font>
      <fill>
        <patternFill patternType="solid">
          <bgColor theme="0" tint="-0.14996795556505021"/>
        </patternFill>
      </fill>
    </dxf>
    <dxf>
      <font>
        <b/>
        <i val="0"/>
        <color rgb="FF0070C0"/>
      </font>
    </dxf>
    <dxf>
      <font>
        <color rgb="FF00B050"/>
      </font>
    </dxf>
    <dxf>
      <font>
        <b/>
        <i val="0"/>
        <color rgb="FF00B050"/>
      </font>
    </dxf>
    <dxf>
      <font>
        <b/>
        <i val="0"/>
        <color rgb="FF00B050"/>
      </font>
    </dxf>
    <dxf>
      <font>
        <b/>
        <i val="0"/>
        <color rgb="FFFF0000"/>
      </font>
    </dxf>
    <dxf>
      <font>
        <b/>
        <i val="0"/>
        <color theme="0"/>
      </font>
      <fill>
        <patternFill>
          <bgColor rgb="FF00B050"/>
        </patternFill>
      </fill>
    </dxf>
    <dxf>
      <font>
        <b/>
        <i val="0"/>
        <color auto="1"/>
      </font>
      <fill>
        <patternFill patternType="none">
          <bgColor auto="1"/>
        </patternFill>
      </fill>
    </dxf>
    <dxf>
      <font>
        <b/>
        <i val="0"/>
        <color rgb="FF00B050"/>
      </font>
    </dxf>
    <dxf>
      <font>
        <b/>
        <i val="0"/>
        <color rgb="FFFF0000"/>
      </font>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ill>
        <patternFill patternType="solid">
          <fgColor rgb="FF0070C0"/>
          <bgColor rgb="FFFFFFFF"/>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Ouro</a:t>
            </a:r>
            <a:r>
              <a:rPr lang="pt-BR" baseline="0"/>
              <a:t> x IBOV</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spPr>
            <a:ln w="28575" cap="rnd">
              <a:solidFill>
                <a:schemeClr val="accent1">
                  <a:shade val="76000"/>
                </a:schemeClr>
              </a:solidFill>
              <a:round/>
            </a:ln>
            <a:effectLst/>
          </c:spPr>
          <c:marker>
            <c:symbol val="none"/>
          </c:marker>
          <c:val>
            <c:numRef>
              <c:f>Bovespa!$BE$2:$BJ$2</c:f>
              <c:numCache>
                <c:formatCode>0.00%</c:formatCode>
                <c:ptCount val="6"/>
                <c:pt idx="0">
                  <c:v>0</c:v>
                </c:pt>
                <c:pt idx="1">
                  <c:v>-1.6317999999999999E-2</c:v>
                </c:pt>
                <c:pt idx="2">
                  <c:v>1.2742E-2</c:v>
                </c:pt>
                <c:pt idx="3">
                  <c:v>-2.5679999999999995E-3</c:v>
                </c:pt>
                <c:pt idx="4">
                  <c:v>-2.2443000000000001E-2</c:v>
                </c:pt>
                <c:pt idx="5">
                  <c:v>1.0680000000000002E-3</c:v>
                </c:pt>
              </c:numCache>
            </c:numRef>
          </c:val>
          <c:smooth val="0"/>
          <c:extLst>
            <c:ext xmlns:c16="http://schemas.microsoft.com/office/drawing/2014/chart" uri="{C3380CC4-5D6E-409C-BE32-E72D297353CC}">
              <c16:uniqueId val="{00000000-9FDB-4878-A44A-5FD8B16729DC}"/>
            </c:ext>
          </c:extLst>
        </c:ser>
        <c:ser>
          <c:idx val="1"/>
          <c:order val="1"/>
          <c:spPr>
            <a:ln w="28575" cap="rnd">
              <a:solidFill>
                <a:schemeClr val="accent1">
                  <a:tint val="77000"/>
                </a:schemeClr>
              </a:solidFill>
              <a:round/>
            </a:ln>
            <a:effectLst/>
          </c:spPr>
          <c:marker>
            <c:symbol val="none"/>
          </c:marker>
          <c:val>
            <c:numRef>
              <c:f>Bovespa!$BE$4:$BJ$4</c:f>
              <c:numCache>
                <c:formatCode>0.00%</c:formatCode>
                <c:ptCount val="6"/>
                <c:pt idx="0">
                  <c:v>-1.0879000000000002E-2</c:v>
                </c:pt>
                <c:pt idx="1">
                  <c:v>-9.8559999999999989E-4</c:v>
                </c:pt>
                <c:pt idx="2">
                  <c:v>-4.261E-3</c:v>
                </c:pt>
                <c:pt idx="3">
                  <c:v>-1.2418999999999999E-2</c:v>
                </c:pt>
                <c:pt idx="4">
                  <c:v>-1.8090000000000001E-3</c:v>
                </c:pt>
                <c:pt idx="5">
                  <c:v>9.9710000000000007E-3</c:v>
                </c:pt>
              </c:numCache>
            </c:numRef>
          </c:val>
          <c:smooth val="0"/>
          <c:extLst>
            <c:ext xmlns:c16="http://schemas.microsoft.com/office/drawing/2014/chart" uri="{C3380CC4-5D6E-409C-BE32-E72D297353CC}">
              <c16:uniqueId val="{00000001-9FDB-4878-A44A-5FD8B16729DC}"/>
            </c:ext>
          </c:extLst>
        </c:ser>
        <c:dLbls>
          <c:showLegendKey val="0"/>
          <c:showVal val="0"/>
          <c:showCatName val="0"/>
          <c:showSerName val="0"/>
          <c:showPercent val="0"/>
          <c:showBubbleSize val="0"/>
        </c:dLbls>
        <c:smooth val="0"/>
        <c:axId val="1213209504"/>
        <c:axId val="1213196544"/>
      </c:lineChart>
      <c:catAx>
        <c:axId val="121320950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13196544"/>
        <c:crosses val="autoZero"/>
        <c:auto val="1"/>
        <c:lblAlgn val="ctr"/>
        <c:lblOffset val="100"/>
        <c:noMultiLvlLbl val="0"/>
      </c:catAx>
      <c:valAx>
        <c:axId val="12131965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13209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272</xdr:row>
      <xdr:rowOff>69273</xdr:rowOff>
    </xdr:from>
    <xdr:to>
      <xdr:col>62</xdr:col>
      <xdr:colOff>412750</xdr:colOff>
      <xdr:row>285</xdr:row>
      <xdr:rowOff>77931</xdr:rowOff>
    </xdr:to>
    <xdr:graphicFrame macro="">
      <xdr:nvGraphicFramePr>
        <xdr:cNvPr id="2" name="Gráfico 1">
          <a:extLst>
            <a:ext uri="{FF2B5EF4-FFF2-40B4-BE49-F238E27FC236}">
              <a16:creationId xmlns:a16="http://schemas.microsoft.com/office/drawing/2014/main" id="{99A5BE98-FBB1-F38D-8B1D-A6256410EA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celo Paranhos" id="{D640B68D-0500-4166-965C-1C9AF3D02865}" userId="3d97c270e6709578"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13.42</v>
    <v>BVMF</v>
    <v>18.850000000000001</v>
    <v>18.66</v>
    <v>0.98060000000000003</v>
    <v>B3 - Brazil Stock Exchange</v>
    <v>1734728958.8199999</v>
    <v>18.73</v>
    <v>45838.697800925926</v>
    <v>0</v>
    <v>BRL</v>
    <v>Trend ETF LBMA Ouro FIInd IE</v>
    <v>18.79</v>
    <v>18.75</v>
    <v>GOLD11</v>
    <v>Fundos mais negociados</v>
    <v>Trend ETF LBMA Ouro FIInd IE (BVMF:GOLD11)</v>
    <v>0.02</v>
    <v>1.0680000000000002E-3</v>
    <v>416644</v>
  </rv>
  <rv s="2">
    <v>1</v>
  </rv>
  <rv s="0">
    <v>https://www.bing.com/financeapi/forcetrigger?t=apnmnm&amp;q=SAO+PAULO+SE+BOVESPA+INDEX&amp;form=skydnc</v>
    <v>Learn more on Bing</v>
  </rv>
  <rv s="3">
    <v>pt-BR</v>
    <v>apnmnm</v>
    <v>268435456</v>
    <v>1</v>
    <v>Da plataforma Refinitiv</v>
    <v>6</v>
    <v>7</v>
    <v>SAO PAULO SE BOVESPA INDEX</v>
    <v>3</v>
    <v>8</v>
    <v>Finance</v>
    <v>9</v>
    <v>140381.93</v>
    <v>118222.64</v>
    <v>138264.69</v>
    <v>136429.87</v>
    <v>136865.79</v>
    <v>3</v>
    <v>SAO PAULO SE BOVESPA INDEX</v>
    <v>BR</v>
    <v>136865.19</v>
    <v>138230.47</v>
    <v>IBOV</v>
    <v>Índice</v>
    <v>SAO PAULO SE BOVESPA INDEX</v>
    <v>1364.68</v>
    <v>9.9710000000000007E-3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7.58</v>
    <v>BVMF</v>
    <v>4453440</v>
    <v>8.0500000000000007</v>
    <v>1960</v>
    <v>8.0500000000000007</v>
    <v>0.56799999999999995</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9</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29.01</v>
    <v>1950</v>
    <v>28.12</v>
    <v>0.51719999999999999</v>
    <v>B3 - Brazil Stock Exchange</v>
    <v>589551500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28.38</v>
    <v>2795</v>
    <v>45838.697141203702</v>
    <v>12</v>
    <v>9240</v>
    <v>BRL</v>
    <v>GRAZZIOTIN S.A.</v>
    <v>GRAZZIOTIN S.A.</v>
    <v>28.92</v>
    <v>28.12</v>
    <v>Rua Valentin Grazziotin, 077, Sao Cristovao, PASSO FUNDO, RIO GRANDE DO SUL, 99.060-030 BR</v>
    <v>Diversified Retail</v>
    <v>CGRA4</v>
    <v>Ações</v>
    <v>GRAZZIOTIN S.A. (BVMF:CGRA4)</v>
    <v>-0.26</v>
    <v>-9.1610000000000007E-3</v>
    <v>1100</v>
  </rv>
  <rv s="2">
    <v>13</v>
  </rv>
  <rv s="0">
    <v>https://www.bing.com/financeapi/forcetrigger?t=apnhoc&amp;q=BVMF%3aTRPL4&amp;form=skydnc</v>
    <v>Learn more on Bing</v>
  </rv>
  <rv s="8">
    <v>pt-BR</v>
    <v>apnhoc</v>
    <v>268435456</v>
    <v>1</v>
    <v>Da plataforma Refinitiv</v>
    <v>14</v>
    <v>15</v>
    <v>ISA ENERGIA BRASIL S.A. (BVMF:ISAE4)</v>
    <v>12</v>
    <v>16</v>
    <v>Finance</v>
    <v>5</v>
    <v>25.04</v>
    <v>20.38</v>
    <v>BVMF</v>
    <v>658883300</v>
    <v>23.15</v>
    <v>1999</v>
    <v>22.78</v>
    <v>0.71230000000000004</v>
    <v>B3 - Brazil Stock Exchange</v>
    <v>16940170000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22.79</v>
    <v>1700</v>
    <v>45838.697919571096</v>
    <v>15</v>
    <v>1349020</v>
    <v>BRL</v>
    <v>ISA ENERGIA BRASIL S.A.</v>
    <v>ISA ENERGIA BRASIL S.A.</v>
    <v>22.79</v>
    <v>23.04</v>
    <v>Av. das Nacoes Unidas 14171 - Torre Crystal, 6 andar, Vila Gertrudes, SAO PAULO, SAO PAULO, 04.794-000 BR</v>
    <v>Electrical Utilities &amp; IPPs</v>
    <v>ISAE4</v>
    <v>Ações</v>
    <v>ISA ENERGIA BRASIL S.A. (BVMF:ISAE4)</v>
    <v>0.25</v>
    <v>1.0970000000000001E-2</v>
    <v>433300</v>
  </rv>
  <rv s="2">
    <v>16</v>
  </rv>
  <rv s="0">
    <v>https://www.bing.com/financeapi/forcetrigger?t=aplzr7&amp;q=BVMF%3aBEES3&amp;form=skydnc</v>
    <v>Learn more on Bing</v>
  </rv>
  <rv s="8">
    <v>pt-BR</v>
    <v>aplzr7</v>
    <v>268435456</v>
    <v>1</v>
    <v>Da plataforma Refinitiv</v>
    <v>14</v>
    <v>15</v>
    <v>BANESTES S.A. – Banco do Estado do Espírito Santo (BVMF:BEES3)</v>
    <v>12</v>
    <v>16</v>
    <v>Finance</v>
    <v>5</v>
    <v>9.32</v>
    <v>7.78</v>
    <v>BVMF</v>
    <v>315912900</v>
    <v>8.5399999999999991</v>
    <v>1937</v>
    <v>8.44</v>
    <v>0.42130000000000001</v>
    <v>B3 - Brazil Stock Exchange</v>
    <v>2680402000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8.49</v>
    <v>2204</v>
    <v>45838.688993055555</v>
    <v>18</v>
    <v>9850</v>
    <v>BRL</v>
    <v>BANESTES S.A. – Banco do Estado do Espírito Santo</v>
    <v>BANESTES S.A. – Banco do Estado do Espírito Santo</v>
    <v>8.44</v>
    <v>8.51</v>
    <v>Av Princesa Isabel 574, BL B, 9 ANDAR, Centro, VITORIA, ESPIRITO SANTO, 29.010-931 BR</v>
    <v>Banking Services</v>
    <v>BEES3</v>
    <v>Ações</v>
    <v>BANESTES S.A. – Banco do Estado do Espírito Santo (BVMF:BEES3)</v>
    <v>0.02</v>
    <v>2.356E-3</v>
    <v>6700</v>
  </rv>
  <rv s="2">
    <v>19</v>
  </rv>
  <rv s="0">
    <v>https://www.bing.com/financeapi/forcetrigger?t=apltyc&amp;q=BVMF%3aABEV3&amp;form=skydnc</v>
    <v>Learn more on Bing</v>
  </rv>
  <rv s="8">
    <v>pt-BR</v>
    <v>apltyc</v>
    <v>268435456</v>
    <v>1</v>
    <v>Da plataforma Refinitiv</v>
    <v>14</v>
    <v>15</v>
    <v>Ambev S.A. (BVMF:ABEV3)</v>
    <v>12</v>
    <v>16</v>
    <v>Finance</v>
    <v>5</v>
    <v>14.9</v>
    <v>10.4</v>
    <v>BVMF</v>
    <v>15761640000</v>
    <v>13.27</v>
    <v>2005</v>
    <v>13.04</v>
    <v>0.66559999999999997</v>
    <v>B3 - Brazil Stock Exchange</v>
    <v>209156962800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13.15</v>
    <v>43000</v>
    <v>45838.697928240741</v>
    <v>21</v>
    <v>33428170</v>
    <v>BRL</v>
    <v>Ambev S.A.</v>
    <v>Ambev S.A.</v>
    <v>13.09</v>
    <v>13.27</v>
    <v>Rua Dr. Renato Paes de Barros, 1.017, 4 andar, Itaim Bibi, SAO PAULO, SAO PAULO, 04.530-001 BR</v>
    <v>Beverages</v>
    <v>ABEV3</v>
    <v>Ações</v>
    <v>Ambev S.A. (BVMF:ABEV3)</v>
    <v>0.12</v>
    <v>9.1249999999999994E-3</v>
    <v>15417500</v>
  </rv>
  <rv s="2">
    <v>22</v>
  </rv>
  <rv s="0">
    <v>https://www.bing.com/financeapi/forcetrigger?t=apnahw&amp;q=BVMF%3aRPMG3&amp;form=skydnc</v>
    <v>Learn more on Bing</v>
  </rv>
  <rv s="9">
    <v>pt-BR</v>
    <v>apnahw</v>
    <v>268435456</v>
    <v>1</v>
    <v>Da plataforma Refinitiv</v>
    <v>17</v>
    <v>18</v>
    <v>REFINARIA DE PETROLEOS DE MANGUINHOS S/A - EM RECUPERACAO JUDICIAL (BVMF:RPMG3)</v>
    <v>12</v>
    <v>19</v>
    <v>Finance</v>
    <v>5</v>
    <v>3.31</v>
    <v>2.4</v>
    <v>BVMF</v>
    <v>67691630</v>
    <v>2.9</v>
    <v>1946</v>
    <v>2.9</v>
    <v>0.75800000000000001</v>
    <v>B3 - Brazil Stock Exchange</v>
    <v>196305727</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v>
    <v>45838.657233796293</v>
    <v>24</v>
    <v>6300</v>
    <v>BRL</v>
    <v>REFINARIA DE PETROLEOS DE MANGUINHOS S/A - EM RECUPERACAO JUDICIAL</v>
    <v>REFINARIA DE PETROLEOS DE MANGUINHOS S/A - EM RECUPERACAO JUDICIAL</v>
    <v>2.9</v>
    <v>2.9</v>
    <v>Avenida Brasil, 3.141,n/a, Benfica, RIO DE JANEIRO, RIO DE JANEIRO, 20.930-041 BR</v>
    <v>Oil &amp; Gas</v>
    <v>RPMG3</v>
    <v>Ações</v>
    <v>REFINARIA DE PETROLEOS DE MANGUINHOS S/A - EM RECUPERACAO JUDICIAL (BVMF:RPMG3)</v>
    <v>0</v>
    <v>0</v>
    <v>500</v>
  </rv>
  <rv s="2">
    <v>25</v>
  </rv>
  <rv s="0">
    <v>https://www.bing.com/financeapi/forcetrigger?t=bvcw27&amp;q=BVMF%3aDMVF3&amp;form=skydnc</v>
    <v>Learn more on Bing</v>
  </rv>
  <rv s="8">
    <v>pt-BR</v>
    <v>bvcw27</v>
    <v>268435456</v>
    <v>1</v>
    <v>Da plataforma Refinitiv</v>
    <v>14</v>
    <v>15</v>
    <v>d1000 Varejo Farma Participações S.A. (BVMF:DMVF3)</v>
    <v>12</v>
    <v>16</v>
    <v>Finance</v>
    <v>5</v>
    <v>8</v>
    <v>4.75</v>
    <v>BVMF</v>
    <v>50602840</v>
    <v>5.0999999999999996</v>
    <v>2010</v>
    <v>4.96</v>
    <v>0.95889999999999997</v>
    <v>B3 - Brazil Stock Exchange</v>
    <v>251496114</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4.99</v>
    <v>4200</v>
    <v>45838.697685185187</v>
    <v>27</v>
    <v>68560</v>
    <v>BRL</v>
    <v>d1000 Varejo Farma Participações S.A.</v>
    <v>d1000 Varejo Farma Participações S.A.</v>
    <v>5.03</v>
    <v>4.97</v>
    <v>Avenida Ayrton Senna, n 2.150 Bloco P, 3 andar, Barra Da Tijuca, Rio De Janeiro, RIO DE JANEIRO, 22.775-003 BR</v>
    <v>Food &amp; Drug Retailing</v>
    <v>DMVF3</v>
    <v>Ações</v>
    <v>d1000 Varejo Farma Participações S.A. (BVMF:DMVF3)</v>
    <v>-0.02</v>
    <v>-4.0080000000000003E-3</v>
    <v>44100</v>
  </rv>
  <rv s="2">
    <v>28</v>
  </rv>
  <rv s="0">
    <v>https://www.bing.com/financeapi/forcetrigger?t=apncjc&amp;q=BVMF%3aSLCE3&amp;form=skydnc</v>
    <v>Learn more on Bing</v>
  </rv>
  <rv s="8">
    <v>pt-BR</v>
    <v>apncjc</v>
    <v>268435456</v>
    <v>1</v>
    <v>Da plataforma Refinitiv</v>
    <v>14</v>
    <v>15</v>
    <v>SLC Agrícola S.A. (BVMF:SLCE3)</v>
    <v>12</v>
    <v>16</v>
    <v>Finance</v>
    <v>5</v>
    <v>20.420000000000002</v>
    <v>16.22</v>
    <v>BVMF</v>
    <v>443329700</v>
    <v>18.02</v>
    <v>1977</v>
    <v>17.77</v>
    <v>0.4642</v>
    <v>B3 - Brazil Stock Exchange</v>
    <v>7904568550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17.91</v>
    <v>6065</v>
    <v>45838.697766203702</v>
    <v>30</v>
    <v>2184230</v>
    <v>BRL</v>
    <v>SLC Agrícola S.A.</v>
    <v>SLC Agrícola S.A.</v>
    <v>17.91</v>
    <v>17.829999999999998</v>
    <v>Rua Bernardo Pires, 128,4andar, Porto Alegre, PORTO ALEGRE, RIO GRANDE DO SUL, 90.620-010 BR</v>
    <v>Food &amp; Tobacco</v>
    <v>SLCE3</v>
    <v>Ações</v>
    <v>SLC Agrícola S.A. (BVMF:SLCE3)</v>
    <v>-0.08</v>
    <v>-4.4669999999999996E-3</v>
    <v>1055500</v>
  </rv>
  <rv s="2">
    <v>31</v>
  </rv>
  <rv s="0">
    <v>https://www.bing.com/financeapi/forcetrigger?t=bxiatc&amp;q=BVMF%3aOPCT3&amp;form=skydnc</v>
    <v>Learn more on Bing</v>
  </rv>
  <rv s="8">
    <v>pt-BR</v>
    <v>bxiatc</v>
    <v>268435456</v>
    <v>1</v>
    <v>Da plataforma Refinitiv</v>
    <v>14</v>
    <v>15</v>
    <v>Oceanpact Serviços Maritimos S.A. (BVMF:OPCT3)</v>
    <v>12</v>
    <v>16</v>
    <v>Finance</v>
    <v>5</v>
    <v>7.26</v>
    <v>4.8499999999999996</v>
    <v>BVMF</v>
    <v>199959500</v>
    <v>6.84</v>
    <v>2007</v>
    <v>6.75</v>
    <v>1.2391000000000001</v>
    <v>B3 - Brazil Stock Exchange</v>
    <v>1355725410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6.85</v>
    <v>2162</v>
    <v>45838.697970300782</v>
    <v>33</v>
    <v>732380</v>
    <v>BRL</v>
    <v>Oceanpact Serviços Maritimos S.A.</v>
    <v>Oceanpact Serviços Maritimos S.A.</v>
    <v>6.84</v>
    <v>6.78</v>
    <v>Rua da Gloria, n 122, salas 801 e 802 10 pavimento salas 901 e 902, Gloria, RIO DE JANEIRO, RIO DE JANEIRO, 20.241-180 BR</v>
    <v>Professional &amp; Commercial Services</v>
    <v>OPCT3</v>
    <v>Ações</v>
    <v>Oceanpact Serviços Maritimos S.A. (BVMF:OPCT3)</v>
    <v>-7.0000000000000007E-2</v>
    <v>-1.0219000000000001E-2</v>
    <v>107100</v>
  </rv>
  <rv s="2">
    <v>34</v>
  </rv>
  <rv s="0">
    <v>http://en.wikipedia.org/wiki/Public_domain</v>
    <v>Public domain</v>
  </rv>
  <rv s="0">
    <v>http://en.wikipedia.org/wiki/Santander_Brasil</v>
    <v>Wikipedia</v>
  </rv>
  <rv s="10">
    <v>36</v>
    <v>37</v>
  </rv>
  <rv s="11">
    <v>25</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20</v>
    <v>21</v>
    <v>Banco Santander (Brasil) S.A. (BVMF:SANB4)</v>
    <v>23</v>
    <v>24</v>
    <v>Finance</v>
    <v>5</v>
    <v>16.02</v>
    <v>11.73</v>
    <v>BVMF</v>
    <v>3749266000</v>
    <v>15.49</v>
    <v>1985</v>
    <v>15.1</v>
    <v>1.0892999999999999</v>
    <v>B3 - Brazil Stock Exchange</v>
    <v>109108500000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15.34</v>
    <v>55035</v>
    <v>45838.697824074072</v>
    <v>39</v>
    <v>40</v>
    <v>74720</v>
    <v>BRL</v>
    <v>Banco Santander (Brasil) S.A.</v>
    <v>Banco Santander (Brasil) S.A.</v>
    <v>15.26</v>
    <v>15.46</v>
    <v>Avenida Presidente Juscelino Kubitschek, n 2041 CJ 281, Bloco A, Vila Nova Conceicao, SAO PAULO, SAO PAULO, 04.543-011 BR</v>
    <v>Banking Services</v>
    <v>SANB4</v>
    <v>Ações</v>
    <v>Banco Santander (Brasil) S.A. (BVMF:SANB4)</v>
    <v>0.12</v>
    <v>7.8230000000000001E-3</v>
    <v>58900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5.05</v>
    <v>1957</v>
    <v>4.95</v>
    <v>0.56620000000000004</v>
    <v>B3 - Brazil Stock Exchange</v>
    <v>7177589000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5.05</v>
    <v>8000</v>
    <v>45838.657030462498</v>
    <v>43</v>
    <v>10810</v>
    <v>BRL</v>
    <v>WHIRLPOOL S.A.</v>
    <v>WHIRLPOOL S.A.</v>
    <v>5.05</v>
    <v>5.01</v>
    <v>Rua Olympia Semeraro, 675, 1 Andar Sala 06 PA, Jardim Santa Emilia, SAO PAULO, SAO PAULO, 04.183-090 BR</v>
    <v>Household Goods</v>
    <v>WHRL4</v>
    <v>Ações</v>
    <v>WHIRLPOOL S.A. (BVMF:WHRL4)</v>
    <v>-0.04</v>
    <v>-7.921000000000001E-3</v>
    <v>1400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8.9499999999999993</v>
    <v>1972</v>
    <v>8.6199999999999992</v>
    <v>1.1627000000000001</v>
    <v>B3 - Brazil Stock Exchange</v>
    <v>1248473000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8.8000000000000007</v>
    <v>469</v>
    <v>45838.697129629632</v>
    <v>46</v>
    <v>950</v>
    <v>BRL</v>
    <v>Telecomunicações Brasileiras S.A. – TELEBRAS</v>
    <v>Telecomunicações Brasileiras S.A. – TELEBRAS</v>
    <v>8.6199999999999992</v>
    <v>8.9499999999999993</v>
    <v>SIG Quadra 4 lotes 075, 083, 125 e 175, Bloco A, Salas 211 a 224, Sig, BRASILIA, DISTRITO FEDERAL, 70.610-440 BR</v>
    <v>Telecommunications Services</v>
    <v>TELB4</v>
    <v>Ações</v>
    <v>Telecomunicações Brasileiras S.A. – TELEBRAS (BVMF:TELB4)</v>
    <v>0.15</v>
    <v>1.7044999999999998E-2</v>
    <v>300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31.49</v>
    <v>1953</v>
    <v>31.1</v>
    <v>0.999</v>
    <v>B3 - Brazil Stock Exchange</v>
    <v>421532700000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31.21</v>
    <v>49185</v>
    <v>45838.697997846873</v>
    <v>49</v>
    <v>47111300</v>
    <v>BRL</v>
    <v>Petróleo Brasileiro S.A. (Petrobras)</v>
    <v>Petróleo Brasileiro S.A. (Petrobras)</v>
    <v>31.21</v>
    <v>31.28</v>
    <v>Av. Republica do Chile, n 65, 24 andar, Centro, RIO DE JANEIRO, RIO DE JANEIRO, 20.031-912 BR</v>
    <v>Oil &amp; Gas</v>
    <v>PETR4</v>
    <v>Ações</v>
    <v>Petróleo Brasileiro S.A. (Petrobras) (BVMF:PETR4)</v>
    <v>7.0000000000000007E-2</v>
    <v>2.2430000000000002E-3</v>
    <v>12853100</v>
  </rv>
  <rv s="2">
    <v>50</v>
  </rv>
  <rv s="0">
    <v>https://www.bing.com/financeapi/forcetrigger?t=bzt9p2&amp;q=BVMF%3aASAI3&amp;form=skydnc</v>
    <v>Learn more on Bing</v>
  </rv>
  <rv s="8">
    <v>pt-BR</v>
    <v>bzt9p2</v>
    <v>268435456</v>
    <v>1</v>
    <v>Da plataforma Refinitiv</v>
    <v>14</v>
    <v>15</v>
    <v>Sendas Distribuidora S.A. (BVMF:ASAI3)</v>
    <v>12</v>
    <v>16</v>
    <v>Finance</v>
    <v>5</v>
    <v>12.04</v>
    <v>4.96</v>
    <v>BVMF</v>
    <v>1352245000</v>
    <v>11.25</v>
    <v>2003</v>
    <v>10.93</v>
    <v>1.4256</v>
    <v>B3 - Brazil Stock Exchange</v>
    <v>15118099100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11.04</v>
    <v>87000</v>
    <v>45838.697985450781</v>
    <v>52</v>
    <v>10675220</v>
    <v>BRL</v>
    <v>Sendas Distribuidora S.A.</v>
    <v>Sendas Distribuidora S.A.</v>
    <v>10.93</v>
    <v>11.18</v>
    <v>Avenida Ayrton Senna, 6.000 Jacarepagua, RIO DE JANEIRO, RIO DE JANEIRO, 22.775-005 BR</v>
    <v>Food &amp; Drug Retailing</v>
    <v>ASAI3</v>
    <v>Ações</v>
    <v>Sendas Distribuidora S.A. (BVMF:ASAI3)</v>
    <v>0.14000000000000001</v>
    <v>1.2681E-2</v>
    <v>3989000</v>
  </rv>
  <rv s="2">
    <v>53</v>
  </rv>
  <rv s="0">
    <v>https://www.bing.com/financeapi/forcetrigger?t=apncdm&amp;q=BVMF%3aSHUL4&amp;form=skydnc</v>
    <v>Learn more on Bing</v>
  </rv>
  <rv s="8">
    <v>pt-BR</v>
    <v>apncdm</v>
    <v>268435456</v>
    <v>1</v>
    <v>Da plataforma Refinitiv</v>
    <v>14</v>
    <v>15</v>
    <v>SCHULZ S.A. (BVMF:SHUL4)</v>
    <v>12</v>
    <v>16</v>
    <v>Finance</v>
    <v>5</v>
    <v>6.58</v>
    <v>4.93</v>
    <v>BVMF</v>
    <v>357374800</v>
    <v>5.26</v>
    <v>1963</v>
    <v>5.18</v>
    <v>0.60719999999999996</v>
    <v>B3 - Brazil Stock Exchange</v>
    <v>1068440000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5.22</v>
    <v>3699</v>
    <v>45838.6974367125</v>
    <v>55</v>
    <v>409800</v>
    <v>BRL</v>
    <v>SCHULZ S.A.</v>
    <v>SCHULZ S.A.</v>
    <v>5.22</v>
    <v>5.24</v>
    <v>Rua: Dona Francisca, 6901, Distrito Industrial, JOINVILLE, SANTA CATARINA, 89.219-600 BR</v>
    <v>Machinery, Equipment &amp; Components</v>
    <v>SHUL4</v>
    <v>Ações</v>
    <v>SCHULZ S.A. (BVMF:SHUL4)</v>
    <v>0.02</v>
    <v>3.8309999999999998E-3</v>
    <v>155600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30.2</v>
    <v>1950</v>
    <v>29.55</v>
    <v>0.73880000000000001</v>
    <v>B3 - Brazil Stock Exchange</v>
    <v>4083790070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29.55</v>
    <v>7560</v>
    <v>45838.697974537034</v>
    <v>58</v>
    <v>215370</v>
    <v>BRL</v>
    <v>MAHLE Metal Leve S.A</v>
    <v>MAHLE Metal Leve S.A</v>
    <v>29.61</v>
    <v>30.13</v>
    <v>Av. Ernst MAHLE, 2000, Mombaca, MOGI GUACU, SAO PAULO, 13.849-050 BR</v>
    <v>Automobiles &amp; Auto Parts</v>
    <v>LEVE3</v>
    <v>Ações</v>
    <v>MAHLE Metal Leve S.A (BVMF:LEVE3)</v>
    <v>0.57999999999999996</v>
    <v>1.9628E-2</v>
    <v>130300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12.37</v>
    <v>1954</v>
    <v>12.13</v>
    <v>0.85650000000000004</v>
    <v>B3 - Brazil Stock Exchange</v>
    <v>35461820000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12.24</v>
    <v>4396</v>
    <v>45838.697974537034</v>
    <v>61</v>
    <v>12275230</v>
    <v>BRL</v>
    <v>Companhia Paranaense de Energia - Copel</v>
    <v>Companhia Paranaense de Energia - Copel</v>
    <v>12.2</v>
    <v>12.28</v>
    <v>Rua Jose Izidoro Biazetto, 158, Orleans, CURITIBA, PARANA, 81.200-240 BR</v>
    <v>Electrical Utilities &amp; IPPs</v>
    <v>CPLE6</v>
    <v>Ações</v>
    <v>Companhia Paranaense de Energia - Copel (BVMF:CPLE6)</v>
    <v>0.04</v>
    <v>3.2679999999999996E-3</v>
    <v>5431900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21.3</v>
    <v>1968</v>
    <v>20.79</v>
    <v>0.69299999999999995</v>
    <v>B3 - Brazil Stock Exchange</v>
    <v>1420598000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21</v>
    <v>845</v>
    <v>45838.671469907407</v>
    <v>64</v>
    <v>5630</v>
    <v>BRL</v>
    <v>COMPANHIA ENERGÉTICA DE BRASÍLIA - CEB</v>
    <v>COMPANHIA ENERGÉTICA DE BRASÍLIA - CEB</v>
    <v>21.22</v>
    <v>21.05</v>
    <v>SGAN Quadra 601, Bloco H, Salas 2010 a 2023 Edificio ION, Asa Norte, BRASILIA, DISTRITO FEDERAL, 70.830-010 BR</v>
    <v>Electrical Utilities &amp; IPPs</v>
    <v>CEBR6</v>
    <v>Ações</v>
    <v>COMPANHIA ENERGÉTICA DE BRASÍLIA - CEB (BVMF:CEBR6)</v>
    <v>0.05</v>
    <v>2.3809999999999999E-3</v>
    <v>3200</v>
  </rv>
  <rv s="2">
    <v>65</v>
  </rv>
  <rv s="0">
    <v>https://www.bing.com/financeapi/forcetrigger?t=awjx27&amp;q=BVMF%3aPRNR3&amp;form=skydnc</v>
    <v>Learn more on Bing</v>
  </rv>
  <rv s="8">
    <v>pt-BR</v>
    <v>awjx27</v>
    <v>268435456</v>
    <v>1</v>
    <v>Da plataforma Refinitiv</v>
    <v>14</v>
    <v>15</v>
    <v>PRINER SERVIÇOS INDUSTRIAIS S.A. (BVMF:PRNR3)</v>
    <v>12</v>
    <v>16</v>
    <v>Finance</v>
    <v>5</v>
    <v>17.920000000000002</v>
    <v>9.93</v>
    <v>BVMF</v>
    <v>46720760</v>
    <v>15.32</v>
    <v>2013</v>
    <v>14.58</v>
    <v>1.0721000000000001</v>
    <v>B3 - Brazil Stock Exchange</v>
    <v>712024382</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14.62</v>
    <v>6994</v>
    <v>45838.697895265628</v>
    <v>67</v>
    <v>234410</v>
    <v>BRL</v>
    <v>PRINER SERVIÇOS INDUSTRIAIS S.A.</v>
    <v>PRINER SERVIÇOS INDUSTRIAIS S.A.</v>
    <v>14.64</v>
    <v>15.24</v>
    <v>Av. Geremario Dantas, 1400 2. Piso - Quality Shopping - Freguesia Jacarepagua, RIO DE JANEIRO, RIO DE JANEIRO BR</v>
    <v>Professional &amp; Commercial Services</v>
    <v>PRNR3</v>
    <v>Ações</v>
    <v>PRINER SERVIÇOS INDUSTRIAIS S.A. (BVMF:PRNR3)</v>
    <v>0.62</v>
    <v>4.2408000000000001E-2</v>
    <v>135900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11.17</v>
    <v>8.26</v>
    <v>BVMF</v>
    <v>2861782000</v>
    <v>10.83</v>
    <v>1952</v>
    <v>10.48</v>
    <v>0.81699999999999995</v>
    <v>B3 - Brazil Stock Exchange</v>
    <v>34525770000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10.48</v>
    <v>5028</v>
    <v>45838.698020312499</v>
    <v>70</v>
    <v>10897250</v>
    <v>BRL</v>
    <v>Companhia Energética de Minas Gerais - CEMIG</v>
    <v>Companhia Energética de Minas Gerais - CEMIG</v>
    <v>10.5</v>
    <v>10.76</v>
    <v>Avenida Barbacena, 1200, 16 / B1, Santo Agostinho, BELO HORIZONTE, MINAS GERAIS, 30.190-131 BR</v>
    <v>Electrical Utilities &amp; IPPs</v>
    <v>CMIG4</v>
    <v>Ações</v>
    <v>Companhia Energética de Minas Gerais - CEMIG (BVMF:CMIG4)</v>
    <v>0.28000000000000003</v>
    <v>2.6718000000000002E-2</v>
    <v>6879500</v>
  </rv>
  <rv s="2">
    <v>71</v>
  </rv>
  <rv s="0">
    <v>https://www.bing.com/financeapi/forcetrigger?t=aplzu2&amp;q=BVMF%3aBEES4&amp;form=skydnc</v>
    <v>Learn more on Bing</v>
  </rv>
  <rv s="8">
    <v>pt-BR</v>
    <v>aplzu2</v>
    <v>268435456</v>
    <v>1</v>
    <v>Da plataforma Refinitiv</v>
    <v>14</v>
    <v>15</v>
    <v>BANESTES S.A. – Banco do Estado do Espírito Santo (BVMF:BEES4)</v>
    <v>12</v>
    <v>16</v>
    <v>Finance</v>
    <v>5</v>
    <v>9.9499999999999993</v>
    <v>7.93</v>
    <v>BVMF</v>
    <v>315912900</v>
    <v>8.58</v>
    <v>1937</v>
    <v>8.4600000000000009</v>
    <v>0.42130000000000001</v>
    <v>B3 - Brazil Stock Exchange</v>
    <v>2680402000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8.4700000000000006</v>
    <v>2204</v>
    <v>45838.682592592595</v>
    <v>73</v>
    <v>9850</v>
    <v>BRL</v>
    <v>BANESTES S.A. – Banco do Estado do Espírito Santo</v>
    <v>BANESTES S.A. – Banco do Estado do Espírito Santo</v>
    <v>8.57</v>
    <v>8.4700000000000006</v>
    <v>Av Princesa Isabel 574, BL B, 9 ANDAR, Centro, VITORIA, ESPIRITO SANTO, 29.010-931 BR</v>
    <v>Banking Services</v>
    <v>BEES4</v>
    <v>Ações</v>
    <v>BANESTES S.A. – Banco do Estado do Espírito Santo (BVMF:BEES4)</v>
    <v>0</v>
    <v>0</v>
    <v>900</v>
  </rv>
  <rv s="2">
    <v>74</v>
  </rv>
  <rv s="0">
    <v>https://www.bing.com/financeapi/forcetrigger?t=apn5a2&amp;q=BVMF%3aPOMO3&amp;form=skydnc</v>
    <v>Learn more on Bing</v>
  </rv>
  <rv s="8">
    <v>pt-BR</v>
    <v>apn5a2</v>
    <v>268435456</v>
    <v>1</v>
    <v>Da plataforma Refinitiv</v>
    <v>14</v>
    <v>15</v>
    <v>MARCOPOLO S.A. (BVMF:POMO3)</v>
    <v>12</v>
    <v>16</v>
    <v>Finance</v>
    <v>5</v>
    <v>6.83</v>
    <v>4.2300000000000004</v>
    <v>BVMF</v>
    <v>1136271000</v>
    <v>6.53</v>
    <v>1949</v>
    <v>6.44</v>
    <v>0.78510000000000002</v>
    <v>B3 - Brazil Stock Exchange</v>
    <v>8378952000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6.46</v>
    <v>16027</v>
    <v>45838.69636574074</v>
    <v>76</v>
    <v>9552900</v>
    <v>BRL</v>
    <v>MARCOPOLO S.A.</v>
    <v>MARCOPOLO S.A.</v>
    <v>6.49</v>
    <v>6.52</v>
    <v>Avenida Marcopolo,280, Planalto, CAXIAS DO SUL, RIO GRANDE DO SUL, 95.086-200 BR</v>
    <v>Automobiles &amp; Auto Parts</v>
    <v>POMO3</v>
    <v>Ações</v>
    <v>MARCOPOLO S.A. (BVMF:POMO3)</v>
    <v>0.06</v>
    <v>9.2879999999999994E-3</v>
    <v>37200</v>
  </rv>
  <rv s="2">
    <v>77</v>
  </rv>
  <rv s="0">
    <v>https://www.bing.com/financeapi/forcetrigger?t=bxgdk2&amp;q=BVMF%3aBMOB3&amp;form=skydnc</v>
    <v>Learn more on Bing</v>
  </rv>
  <rv s="9">
    <v>pt-BR</v>
    <v>bxgdk2</v>
    <v>268435456</v>
    <v>1</v>
    <v>Da plataforma Refinitiv</v>
    <v>17</v>
    <v>18</v>
    <v>BEMOBI MOBILE TECH S.A. (BVMF:BMOB3)</v>
    <v>12</v>
    <v>19</v>
    <v>Finance</v>
    <v>5</v>
    <v>20.76</v>
    <v>12.12</v>
    <v>BVMF</v>
    <v>85608390</v>
    <v>20.76</v>
    <v>2007</v>
    <v>19.579999999999998</v>
    <v>1.2369000000000001</v>
    <v>B3 - Brazil Stock Exchange</v>
    <v>1741274652</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19.690000000000001</v>
    <v>45838.697847222225</v>
    <v>79</v>
    <v>498340</v>
    <v>BRL</v>
    <v>BEMOBI MOBILE TECH S.A.</v>
    <v>BEMOBI MOBILE TECH S.A.</v>
    <v>19.68</v>
    <v>20.34</v>
    <v>Av. Barao de Tefe, n. 27 12 Andar, Saude, RIO DE JANEIRO, RIO DE JANEIRO, 20.220-460 BR</v>
    <v>Software &amp; IT Services</v>
    <v>BMOB3</v>
    <v>Ações</v>
    <v>BEMOBI MOBILE TECH S.A. (BVMF:BMOB3)</v>
    <v>0.65</v>
    <v>3.3012E-2</v>
    <v>172800</v>
  </rv>
  <rv s="2">
    <v>80</v>
  </rv>
  <rv s="0">
    <v>https://www.bing.com/financeapi/forcetrigger?t=apmzur&amp;q=BVMF%3aMTSA4&amp;form=skydnc</v>
    <v>Learn more on Bing</v>
  </rv>
  <rv s="8">
    <v>pt-BR</v>
    <v>apmzur</v>
    <v>268435456</v>
    <v>1</v>
    <v>Da plataforma Refinitiv</v>
    <v>14</v>
    <v>15</v>
    <v>METISA METALURGICA TIMBOENSE S.A. (BVMF:MTSA4)</v>
    <v>12</v>
    <v>16</v>
    <v>Finance</v>
    <v>5</v>
    <v>43.48</v>
    <v>29.96</v>
    <v>BVMF</v>
    <v>9137260</v>
    <v>43.48</v>
    <v>1942</v>
    <v>42.08</v>
    <v>0.52400000000000002</v>
    <v>B3 - Brazil Stock Exchange</v>
    <v>525596100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42.23</v>
    <v>1065</v>
    <v>45838.640601851854</v>
    <v>82</v>
    <v>6100</v>
    <v>BRL</v>
    <v>METISA METALURGICA TIMBOENSE S.A.</v>
    <v>METISA METALURGICA TIMBOENSE S.A.</v>
    <v>42.89</v>
    <v>42.29</v>
    <v>Rua Fritz Lorenz, 2442, Distrito Industrial, TIMBO, SANTA CATARINA, 89.120-000 BR</v>
    <v>Machinery, Equipment &amp; Components</v>
    <v>MTSA4</v>
    <v>Ações</v>
    <v>METISA METALURGICA TIMBOENSE S.A. (BVMF:MTSA4)</v>
    <v>0.06</v>
    <v>1.421E-3</v>
    <v>2800</v>
  </rv>
  <rv s="2">
    <v>83</v>
  </rv>
  <rv s="0">
    <v>https://www.bing.com/financeapi/forcetrigger?t=bgnmm7&amp;q=BVMF%3aCAMB3&amp;form=skydnc</v>
    <v>Learn more on Bing</v>
  </rv>
  <rv s="8">
    <v>pt-BR</v>
    <v>bgnmm7</v>
    <v>268435456</v>
    <v>1</v>
    <v>Da plataforma Refinitiv</v>
    <v>14</v>
    <v>15</v>
    <v>CAMBUCI S.A. (BVMF:CAMB3)</v>
    <v>12</v>
    <v>16</v>
    <v>Finance</v>
    <v>5</v>
    <v>12.33</v>
    <v>9.17</v>
    <v>BVMF</v>
    <v>42275080</v>
    <v>10.23</v>
    <v>1945</v>
    <v>10</v>
    <v>0.14099999999999999</v>
    <v>B3 - Brazil Stock Exchange</v>
    <v>429514812</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10.06</v>
    <v>2078</v>
    <v>45838.697961921091</v>
    <v>85</v>
    <v>87500</v>
    <v>BRL</v>
    <v>CAMBUCI S.A.</v>
    <v>CAMBUCI S.A.</v>
    <v>10.050000000000001</v>
    <v>10.16</v>
    <v>Avenida Getulio Vargas, 930,Escritorio, Marmeleiro, SAO PAULO, SAO PAULO, 18.130-430 BR</v>
    <v>Leisure Products</v>
    <v>CAMB3</v>
    <v>Ações</v>
    <v>CAMBUCI S.A. (BVMF:CAMB3)</v>
    <v>0.1</v>
    <v>9.9399999999999992E-3</v>
    <v>58200</v>
  </rv>
  <rv s="2">
    <v>86</v>
  </rv>
  <rv s="0">
    <v>https://www.bing.com/financeapi/forcetrigger?t=apm3m7&amp;q=BVMF%3aBRAP3&amp;form=skydnc</v>
    <v>Learn more on Bing</v>
  </rv>
  <rv s="9">
    <v>pt-BR</v>
    <v>apm3m7</v>
    <v>268435456</v>
    <v>1</v>
    <v>Da plataforma Refinitiv</v>
    <v>17</v>
    <v>18</v>
    <v>Bradespar S.A (BVMF:BRAP3)</v>
    <v>12</v>
    <v>19</v>
    <v>Finance</v>
    <v>5</v>
    <v>17.239999999999998</v>
    <v>14</v>
    <v>BVMF</v>
    <v>393096600</v>
    <v>14.7</v>
    <v>2000</v>
    <v>14.54</v>
    <v>0.96619999999999995</v>
    <v>B3 - Brazil Stock Exchange</v>
    <v>5995488000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14.59</v>
    <v>45838.697233796294</v>
    <v>88</v>
    <v>4995750</v>
    <v>BRL</v>
    <v>Bradespar S.A</v>
    <v>Bradespar S.A</v>
    <v>14.59</v>
    <v>14.67</v>
    <v>Avenida Paulista, 1.450,9 andar, Cerqueira Cesar, SAO PAULO, SAO PAULO, 01.310-917 BR</v>
    <v>Metals &amp; Mining</v>
    <v>BRAP3</v>
    <v>Ações</v>
    <v>Bradespar S.A (BVMF:BRAP3)</v>
    <v>0.08</v>
    <v>5.483E-3</v>
    <v>16100</v>
  </rv>
  <rv s="2">
    <v>89</v>
  </rv>
  <rv s="0">
    <v>https://www.bing.com/financeapi/forcetrigger?t=apmpkr&amp;q=BVMF%3aHAGA4&amp;form=skydnc</v>
    <v>Learn more on Bing</v>
  </rv>
  <rv s="9">
    <v>pt-BR</v>
    <v>apmpkr</v>
    <v>268435456</v>
    <v>1</v>
    <v>Da plataforma Refinitiv</v>
    <v>17</v>
    <v>18</v>
    <v>HAGA S.A. INDUSTRIA E COMERCIO (BVMF:HAGA4)</v>
    <v>12</v>
    <v>19</v>
    <v>Finance</v>
    <v>5</v>
    <v>1.39</v>
    <v>1.1299999999999999</v>
    <v>BVMF</v>
    <v>11900000</v>
    <v>1.22</v>
    <v>1937</v>
    <v>1.1599999999999999</v>
    <v>0.98950000000000005</v>
    <v>B3 - Brazil Stock Exchange</v>
    <v>17294670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1.21</v>
    <v>45838.674664351849</v>
    <v>91</v>
    <v>8020</v>
    <v>BRL</v>
    <v>HAGA S.A. INDUSTRIA E COMERCIO</v>
    <v>HAGA S.A. INDUSTRIA E COMERCIO</v>
    <v>1.17</v>
    <v>1.21</v>
    <v>Avenida Engenheiro Hans Gaiser, 26,Predio, Centro, NOVA FRIBURGO, RIO DE JANEIRO, 28.605-220 BR</v>
    <v>Specialty Retailers</v>
    <v>HAGA4</v>
    <v>Ações</v>
    <v>HAGA S.A. INDUSTRIA E COMERCIO (BVMF:HAGA4)</v>
    <v>0</v>
    <v>0</v>
    <v>3100</v>
  </rv>
  <rv s="2">
    <v>92</v>
  </rv>
  <rv s="0">
    <v>https://www.bing.com/financeapi/forcetrigger?t=apnaw7&amp;q=BVMF%3aSANB3&amp;form=skydnc</v>
    <v>Learn more on Bing</v>
  </rv>
  <rv s="12">
    <v>pt-BR</v>
    <v>apnaw7</v>
    <v>268435456</v>
    <v>1</v>
    <v>Da plataforma Refinitiv</v>
    <v>20</v>
    <v>21</v>
    <v>Banco Santander (Brasil) S.A. (BVMF:SANB3)</v>
    <v>23</v>
    <v>24</v>
    <v>Finance</v>
    <v>5</v>
    <v>14.7</v>
    <v>10.52</v>
    <v>BVMF</v>
    <v>3749266000</v>
    <v>14.09</v>
    <v>1985</v>
    <v>13.74</v>
    <v>1.0892999999999999</v>
    <v>B3 - Brazil Stock Exchange</v>
    <v>109108500000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13.79</v>
    <v>55035</v>
    <v>45838.697824074072</v>
    <v>39</v>
    <v>94</v>
    <v>74720</v>
    <v>BRL</v>
    <v>Banco Santander (Brasil) S.A.</v>
    <v>Banco Santander (Brasil) S.A.</v>
    <v>13.9</v>
    <v>14.05</v>
    <v>Avenida Presidente Juscelino Kubitschek, n 2041 CJ 281, Bloco A, Vila Nova Conceicao, SAO PAULO, SAO PAULO, 04.543-011 BR</v>
    <v>Banking Services</v>
    <v>SANB3</v>
    <v>Ações</v>
    <v>Banco Santander (Brasil) S.A. (BVMF:SANB3)</v>
    <v>0.26</v>
    <v>1.8853999999999999E-2</v>
    <v>46600</v>
  </rv>
  <rv s="2">
    <v>95</v>
  </rv>
  <rv s="0">
    <v>https://www.bing.com/financeapi/forcetrigger?t=apm6pr&amp;q=BVMF%3aCARD3&amp;form=skydnc</v>
    <v>Learn more on Bing</v>
  </rv>
  <rv s="8">
    <v>pt-BR</v>
    <v>apm6pr</v>
    <v>268435456</v>
    <v>1</v>
    <v>Da plataforma Refinitiv</v>
    <v>14</v>
    <v>15</v>
    <v>CSU DIGITAL S.A. (BVMF:CSUD3)</v>
    <v>12</v>
    <v>16</v>
    <v>Finance</v>
    <v>5</v>
    <v>19.61</v>
    <v>13.58</v>
    <v>BVMF</v>
    <v>41800000</v>
    <v>18.36</v>
    <v>1997</v>
    <v>18.16</v>
    <v>0.89239999999999997</v>
    <v>B3 - Brazil Stock Exchange</v>
    <v>764104000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18.34</v>
    <v>6600</v>
    <v>45838.697824074072</v>
    <v>97</v>
    <v>20750</v>
    <v>BRL</v>
    <v>CSU DIGITAL S.A.</v>
    <v>CSU DIGITAL S.A.</v>
    <v>18.36</v>
    <v>18.28</v>
    <v>Rua Piaui 136, Nova Aldeinha, BARUERI, SAO PAULO, 06.440-182 BR</v>
    <v>Banking Services</v>
    <v>CSUD3</v>
    <v>Ações</v>
    <v>CSU DIGITAL S.A. (BVMF:CSUD3)</v>
    <v>-0.06</v>
    <v>-3.2719999999999997E-3</v>
    <v>14000</v>
  </rv>
  <rv s="2">
    <v>98</v>
  </rv>
  <rv s="0">
    <v>https://www.bing.com/financeapi/forcetrigger?t=c13h5r&amp;q=BVMF%3aBLAU3&amp;form=skydnc</v>
    <v>Learn more on Bing</v>
  </rv>
  <rv s="8">
    <v>pt-BR</v>
    <v>c13h5r</v>
    <v>268435456</v>
    <v>1</v>
    <v>Da plataforma Refinitiv</v>
    <v>14</v>
    <v>15</v>
    <v>Blau Farmacêutica S/A (BVMF:BLAU3)</v>
    <v>12</v>
    <v>16</v>
    <v>Finance</v>
    <v>5</v>
    <v>17.27</v>
    <v>9.76</v>
    <v>BVMF</v>
    <v>179393900</v>
    <v>13.74</v>
    <v>1987</v>
    <v>13.31</v>
    <v>1.0061</v>
    <v>B3 - Brazil Stock Exchange</v>
    <v>2457696430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13.43</v>
    <v>1900</v>
    <v>45838.696898148148</v>
    <v>100</v>
    <v>218450</v>
    <v>BRL</v>
    <v>Blau Farmacêutica S/A</v>
    <v>Blau Farmacêutica S/A</v>
    <v>13.5</v>
    <v>13.7</v>
    <v>Rodovia Raposo Tavares, 2833, km 30,5, Barro Branco, COTIA, SAO PAULO, 06.705-030 BR</v>
    <v>Pharmaceuticals</v>
    <v>BLAU3</v>
    <v>Ações</v>
    <v>Blau Farmacêutica S/A (BVMF:BLAU3)</v>
    <v>0.27</v>
    <v>2.0104E-2</v>
    <v>91800</v>
  </rv>
  <rv s="2">
    <v>101</v>
  </rv>
  <rv s="0">
    <v>https://www.bing.com/financeapi/forcetrigger?t=apmnjc&amp;q=BVMF%3aGGBR3&amp;form=skydnc</v>
    <v>Learn more on Bing</v>
  </rv>
  <rv s="8">
    <v>pt-BR</v>
    <v>apmnjc</v>
    <v>268435456</v>
    <v>1</v>
    <v>Da plataforma Refinitiv</v>
    <v>14</v>
    <v>15</v>
    <v>GERDAU S.A. (BVMF:GGBR3)</v>
    <v>12</v>
    <v>16</v>
    <v>Finance</v>
    <v>5</v>
    <v>19.93</v>
    <v>13.4</v>
    <v>BVMF</v>
    <v>2028195000</v>
    <v>14.57</v>
    <v>1961</v>
    <v>14.45</v>
    <v>0.65069999999999995</v>
    <v>B3 - Brazil Stock Exchange</v>
    <v>31278530000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14.55</v>
    <v>40061</v>
    <v>45838.697476851848</v>
    <v>103</v>
    <v>9003070</v>
    <v>BRL</v>
    <v>GERDAU S.A.</v>
    <v>GERDAU S.A.</v>
    <v>14.55</v>
    <v>14.56</v>
    <v>Avenida Doutora Ruth Cardoso, 8.501, 8 andar, Pinheiros, SAO PAULO, SAO PAULO, 05.425-070 BR</v>
    <v>Metals &amp; Mining</v>
    <v>GGBR3</v>
    <v>Ações</v>
    <v>GERDAU S.A. (BVMF:GGBR3)</v>
    <v>0.01</v>
    <v>6.8729999999999996E-4</v>
    <v>24100</v>
  </rv>
  <rv s="2">
    <v>104</v>
  </rv>
  <rv s="0">
    <v>https://www.bing.com/financeapi/forcetrigger?t=apmbm7&amp;q=BVMF%3aCRFB3&amp;form=skydnc</v>
    <v>Learn more on Bing</v>
  </rv>
  <rv s="8">
    <v>pt-BR</v>
    <v>apmbm7</v>
    <v>268435456</v>
    <v>1</v>
    <v>Da plataforma Refinitiv</v>
    <v>14</v>
    <v>15</v>
    <v>ATACADÃO S.A. (BVMF:CRFB3)</v>
    <v>12</v>
    <v>16</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7.92</v>
    <v>4.8</v>
    <v>BVMF</v>
    <v>1511206000</v>
    <v>7.92</v>
    <v>1963</v>
    <v>7.63</v>
    <v>0.57330000000000003</v>
    <v>B3 - Brazil Stock Exchange</v>
    <v>11434790000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7.7</v>
    <v>6047</v>
    <v>45838.697928020316</v>
    <v>109</v>
    <v>1569060</v>
    <v>BRL</v>
    <v>Companhia de Saneamento do Paraná - Sanepar</v>
    <v>Companhia de Saneamento do Paraná - Sanepar</v>
    <v>7.75</v>
    <v>7.83</v>
    <v>Rua Engenheiros Reboucas, 1376, Reboucas, CURITIBA, PARANA, 80.215-900 BR</v>
    <v>Water Utilities</v>
    <v>SAPR3</v>
    <v>Ações</v>
    <v>Companhia de Saneamento do Paraná - Sanepar (BVMF:SAPR3)</v>
    <v>0.13</v>
    <v>1.6882999999999999E-2</v>
    <v>218400</v>
  </rv>
  <rv s="2">
    <v>110</v>
  </rv>
  <rv s="0">
    <v>https://www.bing.com/financeapi/forcetrigger?t=apltsm&amp;q=BVMF%3aABCB4&amp;form=skydnc</v>
    <v>Learn more on Bing</v>
  </rv>
  <rv s="8">
    <v>pt-BR</v>
    <v>apltsm</v>
    <v>268435456</v>
    <v>1</v>
    <v>Da plataforma Refinitiv</v>
    <v>14</v>
    <v>15</v>
    <v>Banco ABC Brasil S.A (BVMF:ABCB4)</v>
    <v>12</v>
    <v>16</v>
    <v>Finance</v>
    <v>5</v>
    <v>23.24</v>
    <v>18.760000000000002</v>
    <v>BVMF</v>
    <v>121695200</v>
    <v>22.53</v>
    <v>1983</v>
    <v>22.11</v>
    <v>0.87670000000000003</v>
    <v>B3 - Brazil Stock Exchange</v>
    <v>2701632000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22.2</v>
    <v>441</v>
    <v>45838.697858796295</v>
    <v>112</v>
    <v>716350</v>
    <v>BRL</v>
    <v>Banco ABC Brasil S.A</v>
    <v>Banco ABC Brasil S.A</v>
    <v>22.21</v>
    <v>22.3</v>
    <v>Av. Cidade Jardim, 803 2 andar, Itaim Bibi, SAO PAULO, SAO PAULO, 01.453-000 BR</v>
    <v>Banking Services</v>
    <v>ABCB4</v>
    <v>Ações</v>
    <v>Banco ABC Brasil S.A (BVMF:ABCB4)</v>
    <v>0.1</v>
    <v>4.5050000000000003E-3</v>
    <v>616700</v>
  </rv>
  <rv s="2">
    <v>113</v>
  </rv>
  <rv s="0">
    <v>https://www.bing.com/financeapi/forcetrigger?t=apm5c7&amp;q=BVMF%3aBRSR6&amp;form=skydnc</v>
    <v>Learn more on Bing</v>
  </rv>
  <rv s="8">
    <v>pt-BR</v>
    <v>apm5c7</v>
    <v>268435456</v>
    <v>1</v>
    <v>Da plataforma Refinitiv</v>
    <v>14</v>
    <v>15</v>
    <v>BANCO DO ESTADO DO RIO GRANDE DO SUL S.A. (BVMF:BRSR6)</v>
    <v>12</v>
    <v>16</v>
    <v>Finance</v>
    <v>5</v>
    <v>12.8</v>
    <v>9.1199999999999992</v>
    <v>BVMF</v>
    <v>408974500</v>
    <v>11.7</v>
    <v>1928</v>
    <v>11.38</v>
    <v>1.0739000000000001</v>
    <v>B3 - Brazil Stock Exchange</v>
    <v>4781594000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11.4</v>
    <v>9364</v>
    <v>45838.698022233591</v>
    <v>115</v>
    <v>941140</v>
    <v>BRL</v>
    <v>BANCO DO ESTADO DO RIO GRANDE DO SUL S.A.</v>
    <v>BANCO DO ESTADO DO RIO GRANDE DO SUL S.A.</v>
    <v>11.4</v>
    <v>11.55</v>
    <v>Rua Capitao Montanha, 177, Centro, PORTO ALEGRE, RIO GRANDE DO SUL, 90.018-900 BR</v>
    <v>Banking Services</v>
    <v>BRSR6</v>
    <v>Ações</v>
    <v>BANCO DO ESTADO DO RIO GRANDE DO SUL S.A. (BVMF:BRSR6)</v>
    <v>0.15</v>
    <v>1.3158000000000001E-2</v>
    <v>509000</v>
  </rv>
  <rv s="2">
    <v>116</v>
  </rv>
  <rv s="0">
    <v>https://www.bing.com/financeapi/forcetrigger?t=c3uxhw&amp;q=BVMF%3aPORT3&amp;form=skydnc</v>
    <v>Learn more on Bing</v>
  </rv>
  <rv s="9">
    <v>pt-BR</v>
    <v>c3uxhw</v>
    <v>268435456</v>
    <v>1</v>
    <v>Da plataforma Refinitiv</v>
    <v>17</v>
    <v>18</v>
    <v>Wilson Sons S.A. (BVMF:PORT3)</v>
    <v>12</v>
    <v>19</v>
    <v>Finance</v>
    <v>5</v>
    <v>17.57</v>
    <v>13.7</v>
    <v>BVMF</v>
    <v>440977900</v>
    <v>17.48</v>
    <v>1971</v>
    <v>17.45</v>
    <v>1.0817000000000001</v>
    <v>B3 - Brazil Stock Exchange</v>
    <v>7703883912</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17.45</v>
    <v>45838.698067129626</v>
    <v>118</v>
    <v>1048000</v>
    <v>BRL</v>
    <v>Wilson Sons S.A.</v>
    <v>Wilson Sons S.A.</v>
    <v>17.45</v>
    <v>17.47</v>
    <v>Praia de Botafogo 186, 4 andar, Botafogo, RIO DE JANEIRO, RIO DE JANEIRO, 22.250-145 BR</v>
    <v>Transport Infrastructure</v>
    <v>PORT3</v>
    <v>Ações</v>
    <v>Wilson Sons S.A. (BVMF:PORT3)</v>
    <v>0.02</v>
    <v>1.1459999999999999E-3</v>
    <v>308100</v>
  </rv>
  <rv s="2">
    <v>119</v>
  </rv>
  <rv s="0">
    <v>https://www.bing.com/financeapi/forcetrigger?t=apn4rw&amp;q=BVMF%3aPINE4&amp;form=skydnc</v>
    <v>Learn more on Bing</v>
  </rv>
  <rv s="8">
    <v>pt-BR</v>
    <v>apn4rw</v>
    <v>268435456</v>
    <v>1</v>
    <v>Da plataforma Refinitiv</v>
    <v>14</v>
    <v>15</v>
    <v>Banco Pine S.A. (BVMF:PINE4)</v>
    <v>12</v>
    <v>16</v>
    <v>Finance</v>
    <v>5</v>
    <v>6.04</v>
    <v>3.61</v>
    <v>BVMF</v>
    <v>226428400</v>
    <v>5.93</v>
    <v>1997</v>
    <v>5.86</v>
    <v>1.2254</v>
    <v>B3 - Brazil Stock Exchange</v>
    <v>1308324000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5.86</v>
    <v>393</v>
    <v>45838.697916666664</v>
    <v>121</v>
    <v>247730</v>
    <v>BRL</v>
    <v>Banco Pine S.A.</v>
    <v>Banco Pine S.A.</v>
    <v>5.89</v>
    <v>5.93</v>
    <v>Av. Presidente Juscelino Kubitschek, 1830- Salas 44, 54 e 64 4, 5 e 6 andares, Vila Nova Conceicao, SAO PAULO, SAO PAULO, 04.543-000 BR</v>
    <v>Banking Services</v>
    <v>PINE4</v>
    <v>Ações</v>
    <v>Banco Pine S.A. (BVMF:PINE4)</v>
    <v>7.0000000000000007E-2</v>
    <v>1.1944999999999999E-2</v>
    <v>111900</v>
  </rv>
  <rv s="2">
    <v>122</v>
  </rv>
  <rv s="0">
    <v>https://www.bing.com/financeapi/forcetrigger?t=apms4c&amp;q=BVMF%3aITSA3&amp;form=skydnc</v>
    <v>Learn more on Bing</v>
  </rv>
  <rv s="8">
    <v>pt-BR</v>
    <v>apms4c</v>
    <v>268435456</v>
    <v>1</v>
    <v>Da plataforma Refinitiv</v>
    <v>14</v>
    <v>15</v>
    <v>ITAÚSA S.A. (BVMF:ITSA3)</v>
    <v>12</v>
    <v>16</v>
    <v>Finance</v>
    <v>5</v>
    <v>11.34</v>
    <v>8.06</v>
    <v>BVMF</v>
    <v>10993810000</v>
    <v>10.89</v>
    <v>1966</v>
    <v>10.7</v>
    <v>1.1940999999999999</v>
    <v>B3 - Brazil Stock Exchange</v>
    <v>118083700000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10.8</v>
    <v>127000</v>
    <v>45838.69672453704</v>
    <v>124</v>
    <v>25306390</v>
    <v>BRL</v>
    <v>ITAÚSA S.A.</v>
    <v>ITAÚSA S.A.</v>
    <v>10.79</v>
    <v>10.88</v>
    <v>Avenida Paulista, 1938, 5 andar, Bela Vista, SAO PAULO, SAO PAULO, 01.310-200 BR</v>
    <v>Banking Services</v>
    <v>ITSA3</v>
    <v>Ações</v>
    <v>ITAÚSA S.A. (BVMF:ITSA3)</v>
    <v>0.08</v>
    <v>7.4070000000000004E-3</v>
    <v>38700</v>
  </rv>
  <rv s="2">
    <v>125</v>
  </rv>
  <rv s="0">
    <v>https://www.bing.com/financeapi/forcetrigger?t=apmx3m&amp;q=BVMF%3aMEAL3&amp;form=skydnc</v>
    <v>Learn more on Bing</v>
  </rv>
  <rv s="13">
    <v>pt-BR</v>
    <v>apmx3m</v>
    <v>268435456</v>
    <v>1</v>
    <v>Da plataforma Refinitiv</v>
    <v>26</v>
    <v>27</v>
    <v>International Meal Company Alimentação S.A. (BVMF:MEAL3)</v>
    <v>12</v>
    <v>28</v>
    <v>Finance</v>
    <v>5</v>
    <v>1.75</v>
    <v>0.91</v>
    <v>BVMF</v>
    <v>286676500</v>
    <v>1.25</v>
    <v>1.19</v>
    <v>2.0627</v>
    <v>B3 - Brazil Stock Exchange</v>
    <v>355478860</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1.19</v>
    <v>8427</v>
    <v>45838.698020833333</v>
    <v>127</v>
    <v>222910</v>
    <v>BRL</v>
    <v>International Meal Company Alimentação S.A.</v>
    <v>International Meal Company Alimentação S.A.</v>
    <v>1.19</v>
    <v>1.24</v>
    <v>Avenida Doutora Ruth Cardoso, 4777, 12 andar,conjunto A, Jd Univ. Pinheiros, SAO PAULO, SAO PAULO, 05.477-902 BR</v>
    <v>Hotels &amp; Entertainment Services</v>
    <v>MEAL3</v>
    <v>Ações</v>
    <v>International Meal Company Alimentação S.A. (BVMF:MEAL3)</v>
    <v>0.05</v>
    <v>4.2016999999999999E-2</v>
    <v>214300</v>
  </rv>
  <rv s="2">
    <v>128</v>
  </rv>
  <rv s="0">
    <v>https://www.bing.com/financeapi/forcetrigger?t=aplz4c&amp;q=BVMF%3aBBSE3&amp;form=skydnc</v>
    <v>Learn more on Bing</v>
  </rv>
  <rv s="8">
    <v>pt-BR</v>
    <v>aplz4c</v>
    <v>268435456</v>
    <v>1</v>
    <v>Da plataforma Refinitiv</v>
    <v>14</v>
    <v>15</v>
    <v>BB Seguridade Participações S.A. (BVMF:BBSE3)</v>
    <v>12</v>
    <v>16</v>
    <v>Finance</v>
    <v>5</v>
    <v>42.77</v>
    <v>29.6</v>
    <v>BVMF</v>
    <v>2000000000</v>
    <v>35.799999999999997</v>
    <v>2012</v>
    <v>35.21</v>
    <v>0.53580000000000005</v>
    <v>B3 - Brazil Stock Exchange</v>
    <v>71440000000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35.229999999999997</v>
    <v>268</v>
    <v>45838.698067129626</v>
    <v>130</v>
    <v>5635670</v>
    <v>BRL</v>
    <v>BB Seguridade Participações S.A.</v>
    <v>BB Seguridade Participações S.A.</v>
    <v>35.340000000000003</v>
    <v>35.72</v>
    <v>SAUN, Quadra 05, Bloco B, 3 andar Edificio Banco do Br, Asa Norte, BRASILIA, DISTRITO FEDERAL, 70.040-912 BR</v>
    <v>Insurance</v>
    <v>BBSE3</v>
    <v>Ações</v>
    <v>BB Seguridade Participações S.A. (BVMF:BBSE3)</v>
    <v>0.49</v>
    <v>1.3908999999999999E-2</v>
    <v>1931600</v>
  </rv>
  <rv s="2">
    <v>131</v>
  </rv>
  <rv s="0">
    <v>https://www.bing.com/financeapi/forcetrigger?t=apmnxm&amp;q=BVMF%3aGOAU3&amp;form=skydnc</v>
    <v>Learn more on Bing</v>
  </rv>
  <rv s="8">
    <v>pt-BR</v>
    <v>apmnxm</v>
    <v>268435456</v>
    <v>1</v>
    <v>Da plataforma Refinitiv</v>
    <v>14</v>
    <v>15</v>
    <v>METALURGICA GERDAU S.A. (BVMF:GOAU3)</v>
    <v>12</v>
    <v>16</v>
    <v>Finance</v>
    <v>5</v>
    <v>11.82</v>
    <v>7.97</v>
    <v>BVMF</v>
    <v>993705800</v>
    <v>8.98</v>
    <v>1901</v>
    <v>8.7200000000000006</v>
    <v>0.6946</v>
    <v>B3 - Brazil Stock Exchange</v>
    <v>8779090000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8.86</v>
    <v>30000</v>
    <v>45838.696261574078</v>
    <v>133</v>
    <v>5871070</v>
    <v>BRL</v>
    <v>METALURGICA GERDAU S.A.</v>
    <v>METALURGICA GERDAU S.A.</v>
    <v>8.9499999999999993</v>
    <v>8.9</v>
    <v>Avenida Doutora Ruth Cardoso, 8.501,8 andar, Pinheiros, SAO PAULO, SAO PAULO, 05.425-070 BR</v>
    <v>Metals &amp; Mining</v>
    <v>GOAU3</v>
    <v>Ações</v>
    <v>METALURGICA GERDAU S.A. (BVMF:GOAU3)</v>
    <v>0.04</v>
    <v>4.5149999999999999E-3</v>
    <v>32500</v>
  </rv>
  <rv s="2">
    <v>134</v>
  </rv>
  <rv s="0">
    <v>https://www.bing.com/financeapi/forcetrigger?t=apmscw&amp;q=BVMF%3aITUB4&amp;form=skydnc</v>
    <v>Learn more on Bing</v>
  </rv>
  <rv s="8">
    <v>pt-BR</v>
    <v>apmscw</v>
    <v>268435456</v>
    <v>1</v>
    <v>Da plataforma Refinitiv</v>
    <v>14</v>
    <v>15</v>
    <v>Itaú Unibanco Holding S.A. (BVMF:ITUB4)</v>
    <v>12</v>
    <v>16</v>
    <v>Finance</v>
    <v>5</v>
    <v>38.25</v>
    <v>25.57</v>
    <v>BVMF</v>
    <v>10784550000</v>
    <v>36.729999999999997</v>
    <v>1943</v>
    <v>35.92</v>
    <v>1.2446999999999999</v>
    <v>B3 - Brazil Stock Exchange</v>
    <v>369284600000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36.270000000000003</v>
    <v>100600</v>
    <v>45838.698068228907</v>
    <v>136</v>
    <v>18297220</v>
    <v>BRL</v>
    <v>Itaú Unibanco Holding S.A.</v>
    <v>Itaú Unibanco Holding S.A.</v>
    <v>36.15</v>
    <v>36.57</v>
    <v>Praca Alfredo Egydio de Souza Aranha, 100, T. Olavo Setubal, Piso Itau Unibanco, Parque Jabaquara, SAO PAULO, SAO PAULO, 04.344-902 BR</v>
    <v>Banking Services</v>
    <v>ITUB4</v>
    <v>Ações</v>
    <v>Itaú Unibanco Holding S.A. (BVMF:ITUB4)</v>
    <v>0.3</v>
    <v>8.2709999999999988E-3</v>
    <v>14116900</v>
  </rv>
  <rv s="2">
    <v>137</v>
  </rv>
  <rv s="0">
    <v>https://www.bing.com/financeapi/forcetrigger?t=apluur&amp;q=BVMF%3aAGRO3&amp;form=skydnc</v>
    <v>Learn more on Bing</v>
  </rv>
  <rv s="9">
    <v>pt-BR</v>
    <v>apluur</v>
    <v>268435456</v>
    <v>1</v>
    <v>Da plataforma Refinitiv</v>
    <v>17</v>
    <v>18</v>
    <v>Brasilagro - Companhia Brasileira de Propriedades Agrícolas (BVMF:AGRO3)</v>
    <v>12</v>
    <v>19</v>
    <v>Finance</v>
    <v>5</v>
    <v>26.67</v>
    <v>19.61</v>
    <v>BVMF</v>
    <v>102683400</v>
    <v>20.16</v>
    <v>2005</v>
    <v>19.97</v>
    <v>0.67410000000000003</v>
    <v>B3 - Brazil Stock Exchange</v>
    <v>2058803000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20.05</v>
    <v>45838.697222222225</v>
    <v>139</v>
    <v>208020</v>
    <v>BRL</v>
    <v>Brasilagro - Companhia Brasileira de Propriedades Agrícolas</v>
    <v>Brasilagro - Companhia Brasileira de Propriedades Agrícolas</v>
    <v>20.05</v>
    <v>20.03</v>
    <v>Avenida Reboucas, n. 2.984, Conj, 61 e 62 6 andar, Pinheiros, SAO PAULO, SAO PAULO, 05.402-500 BR</v>
    <v>Food &amp; Tobacco</v>
    <v>AGRO3</v>
    <v>Ações</v>
    <v>Brasilagro - Companhia Brasileira de Propriedades Agrícolas (BVMF:AGRO3)</v>
    <v>-0.02</v>
    <v>-9.9750000000000012E-4</v>
    <v>165300</v>
  </rv>
  <rv s="2">
    <v>140</v>
  </rv>
  <rv s="0">
    <v>https://www.bing.com/financeapi/forcetrigger?t=bskymw&amp;q=BVMF%3aBMGB4&amp;form=skydnc</v>
    <v>Learn more on Bing</v>
  </rv>
  <rv s="14">
    <v>pt-BR</v>
    <v>bskymw</v>
    <v>268435456</v>
    <v>1</v>
    <v>Da plataforma Refinitiv</v>
    <v>29</v>
    <v>30</v>
    <v>BANCO BMG S.A. (BVMF:BMGB4)</v>
    <v>12</v>
    <v>31</v>
    <v>Finance</v>
    <v>5</v>
    <v>4.3099999999999996</v>
    <v>3.02</v>
    <v>BVMF</v>
    <v>210536200</v>
    <v>3.7</v>
    <v>3.66</v>
    <v>1.177</v>
    <v>B3 - Brazil Stock Exchange</v>
    <v>774773216</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3.68</v>
    <v>45838.697978726559</v>
    <v>142</v>
    <v>660550</v>
    <v>BRL</v>
    <v>BANCO BMG S.A.</v>
    <v>BANCO BMG S.A.</v>
    <v>3.68</v>
    <v>3.68</v>
    <v>Avenida Presidente Juscelino Kubitschek, N 1830, 10, 11, 13 E 14 Andares - Parte Cond Ed S Luiz, Vila Nova Conceicao, SAO PAULO, SAO PAULO, 04.543-000 BR</v>
    <v>Banking Services</v>
    <v>BMGB4</v>
    <v>Ações</v>
    <v>BANCO BMG S.A. (BVMF:BMGB4)</v>
    <v>0</v>
    <v>0</v>
    <v>187300</v>
  </rv>
  <rv s="2">
    <v>143</v>
  </rv>
  <rv s="0">
    <v>https://www.bing.com/financeapi/forcetrigger?t=c2yyw7&amp;q=BVMF%3aLAND3&amp;form=skydnc</v>
    <v>Learn more on Bing</v>
  </rv>
  <rv s="9">
    <v>pt-BR</v>
    <v>c2yyw7</v>
    <v>268435456</v>
    <v>1</v>
    <v>Da plataforma Refinitiv</v>
    <v>17</v>
    <v>18</v>
    <v>Terra Santa Propriedades Agrícolas S.A. (BVMF:LAND3)</v>
    <v>12</v>
    <v>19</v>
    <v>Finance</v>
    <v>5</v>
    <v>15.91</v>
    <v>9.7200000000000006</v>
    <v>BVMF</v>
    <v>96226960</v>
    <v>10.27</v>
    <v>2021</v>
    <v>10.039999999999999</v>
    <v>-0.36120000000000002</v>
    <v>B3 - Brazil Stock Exchange</v>
    <v>970930026</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10.27</v>
    <v>45838.696053240739</v>
    <v>145</v>
    <v>90620</v>
    <v>BRL</v>
    <v>Terra Santa Propriedades Agrícolas S.A.</v>
    <v>Terra Santa Propriedades Agrícolas S.A.</v>
    <v>10.27</v>
    <v>10.09</v>
    <v>Praca General Gentil Falcao, 108, 8o andar Cj. 81, Sala 4, Cidade Moncoes, SAO PAULO, SAO PAULO, 04.571-150 BR</v>
    <v>Real Estate Operations</v>
    <v>LAND3</v>
    <v>Ações</v>
    <v>Terra Santa Propriedades Agrícolas S.A. (BVMF:LAND3)</v>
    <v>-0.18</v>
    <v>-1.7527000000000001E-2</v>
    <v>14400</v>
  </rv>
  <rv s="2">
    <v>146</v>
  </rv>
  <rv s="0">
    <v>https://www.bing.com/financeapi/forcetrigger?t=apmnm7&amp;q=BVMF%3aGGBR4&amp;form=skydnc</v>
    <v>Learn more on Bing</v>
  </rv>
  <rv s="8">
    <v>pt-BR</v>
    <v>apmnm7</v>
    <v>268435456</v>
    <v>1</v>
    <v>Da plataforma Refinitiv</v>
    <v>14</v>
    <v>15</v>
    <v>GERDAU S.A. (BVMF:GGBR4)</v>
    <v>12</v>
    <v>16</v>
    <v>Finance</v>
    <v>5</v>
    <v>21</v>
    <v>13.63</v>
    <v>BVMF</v>
    <v>2028195000</v>
    <v>16.100000000000001</v>
    <v>1961</v>
    <v>15.78</v>
    <v>0.65069999999999995</v>
    <v>B3 - Brazil Stock Exchange</v>
    <v>31278530000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15.9</v>
    <v>40061</v>
    <v>45838.698055555556</v>
    <v>148</v>
    <v>9003070</v>
    <v>BRL</v>
    <v>GERDAU S.A.</v>
    <v>GERDAU S.A.</v>
    <v>15.82</v>
    <v>16.03</v>
    <v>Avenida Doutora Ruth Cardoso, 8.501, 8 andar, Pinheiros, SAO PAULO, SAO PAULO, 05.425-070 BR</v>
    <v>Metals &amp; Mining</v>
    <v>GGBR4</v>
    <v>Ações</v>
    <v>GERDAU S.A. (BVMF:GGBR4)</v>
    <v>0.13</v>
    <v>8.1759999999999992E-3</v>
    <v>2221600</v>
  </rv>
  <rv s="2">
    <v>149</v>
  </rv>
  <rv s="0">
    <v>https://www.bing.com/financeapi/forcetrigger?t=apms77&amp;q=BVMF%3aITSA4&amp;form=skydnc</v>
    <v>Learn more on Bing</v>
  </rv>
  <rv s="8">
    <v>pt-BR</v>
    <v>apms77</v>
    <v>268435456</v>
    <v>1</v>
    <v>Da plataforma Refinitiv</v>
    <v>14</v>
    <v>15</v>
    <v>ITAÚSA S.A. (BVMF:ITSA4)</v>
    <v>12</v>
    <v>16</v>
    <v>Finance</v>
    <v>5</v>
    <v>11.34</v>
    <v>7.86</v>
    <v>BVMF</v>
    <v>10993810000</v>
    <v>10.87</v>
    <v>1966</v>
    <v>10.65</v>
    <v>1.1940999999999999</v>
    <v>B3 - Brazil Stock Exchange</v>
    <v>118083700000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10.71</v>
    <v>127000</v>
    <v>45838.698055555556</v>
    <v>151</v>
    <v>25306390</v>
    <v>BRL</v>
    <v>ITAÚSA S.A.</v>
    <v>ITAÚSA S.A.</v>
    <v>10.65</v>
    <v>10.86</v>
    <v>Avenida Paulista, 1938, 5 andar, Bela Vista, SAO PAULO, SAO PAULO, 01.310-200 BR</v>
    <v>Banking Services</v>
    <v>ITSA4</v>
    <v>Ações</v>
    <v>ITAÚSA S.A. (BVMF:ITSA4)</v>
    <v>0.15</v>
    <v>1.4006000000000001E-2</v>
    <v>11320700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24.74</v>
    <v>2005</v>
    <v>24.2</v>
    <v>2.0943999999999998</v>
    <v>B3 - Brazil Stock Exchange</v>
    <v>14704297462</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24.29</v>
    <v>3838</v>
    <v>45838.698082696093</v>
    <v>154</v>
    <v>4253930</v>
    <v>BRL</v>
    <v>Smartfit Escola de Ginástica e Dança S.A.</v>
    <v>Smartfit Escola de Ginástica e Dança S.A.</v>
    <v>24.2</v>
    <v>24.62</v>
    <v>Avenida Paulista, n.1294, 2 andar, Bela Vista,, SAO PAULO, SAO PAULO, 01.310-100 BR</v>
    <v>Hotels &amp; Entertainment Services</v>
    <v>SMFT3</v>
    <v>Ações</v>
    <v>Smartfit Escola de Ginástica e Dança S.A. (BVMF:SMFT3)</v>
    <v>0.33</v>
    <v>1.3586000000000001E-2</v>
    <v>419900</v>
  </rv>
  <rv s="2">
    <v>155</v>
  </rv>
  <rv s="0">
    <v>https://www.bing.com/financeapi/forcetrigger?t=apmlc7&amp;q=BVMF%3aFLRY3&amp;form=skydnc</v>
    <v>Learn more on Bing</v>
  </rv>
  <rv s="8">
    <v>pt-BR</v>
    <v>apmlc7</v>
    <v>268435456</v>
    <v>1</v>
    <v>Da plataforma Refinitiv</v>
    <v>14</v>
    <v>15</v>
    <v>Fleury S.A. (BVMF:FLRY3)</v>
    <v>12</v>
    <v>16</v>
    <v>Finance</v>
    <v>5</v>
    <v>15.93</v>
    <v>10.62</v>
    <v>BVMF</v>
    <v>547191000</v>
    <v>12.94</v>
    <v>1964</v>
    <v>12.69</v>
    <v>0.63229999999999997</v>
    <v>B3 - Brazil Stock Exchange</v>
    <v>7053291990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12.73</v>
    <v>27500</v>
    <v>45838.697961342186</v>
    <v>157</v>
    <v>2941770</v>
    <v>BRL</v>
    <v>Fleury S.A.</v>
    <v>Fleury S.A.</v>
    <v>12.73</v>
    <v>12.89</v>
    <v>Av. General Valdomiro de Lima, 508, Jabaquara, SAO PAULO, SAO PAULO, 04.344-070 BR</v>
    <v>Healthcare Providers &amp; Services</v>
    <v>FLRY3</v>
    <v>Ações</v>
    <v>Fleury S.A. (BVMF:FLRY3)</v>
    <v>0.16</v>
    <v>1.2568999999999999E-2</v>
    <v>561100</v>
  </rv>
  <rv s="2">
    <v>158</v>
  </rv>
  <rv s="0">
    <v>https://www.bing.com/financeapi/forcetrigger?t=apna3m&amp;q=BVMF%3aROMI3&amp;form=skydnc</v>
    <v>Learn more on Bing</v>
  </rv>
  <rv s="8">
    <v>pt-BR</v>
    <v>apna3m</v>
    <v>268435456</v>
    <v>1</v>
    <v>Da plataforma Refinitiv</v>
    <v>14</v>
    <v>15</v>
    <v>ROMI S.A. (BVMF:ROMI3)</v>
    <v>12</v>
    <v>16</v>
    <v>Finance</v>
    <v>5</v>
    <v>10.82</v>
    <v>7.67</v>
    <v>BVMF</v>
    <v>93170750</v>
    <v>9.01</v>
    <v>1938</v>
    <v>8.91</v>
    <v>0.59199999999999997</v>
    <v>B3 - Brazil Stock Exchange</v>
    <v>835741627</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8.9700000000000006</v>
    <v>2806</v>
    <v>45838.697858796295</v>
    <v>160</v>
    <v>126160</v>
    <v>BRL</v>
    <v>ROMI S.A.</v>
    <v>ROMI S.A.</v>
    <v>8.9700000000000006</v>
    <v>8.9700000000000006</v>
    <v>Rodovia Luis de Queiroz (SP 304), s/n, KM 141,5, Dist. Industrial Sul, SANTA BARBARA D'OESTE, SAO PAULO, 13.459-057 BR</v>
    <v>Machinery, Equipment &amp; Components</v>
    <v>ROMI3</v>
    <v>Ações</v>
    <v>ROMI S.A. (BVMF:ROMI3)</v>
    <v>0</v>
    <v>0</v>
    <v>43100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11.62</v>
    <v>2006</v>
    <v>11.42</v>
    <v>0.68979999999999997</v>
    <v>B3 - Brazil Stock Exchange</v>
    <v>11850760000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11.54</v>
    <v>854</v>
    <v>45838.697858796295</v>
    <v>163</v>
    <v>1674490</v>
    <v>BRL</v>
    <v>Transmissora Aliança de Energia Elétrica S/A</v>
    <v>Transmissora Aliança de Energia Elétrica S/A</v>
    <v>11.52</v>
    <v>11.56</v>
    <v>Av. das Americas, 2480 Bloco 6, Barra da Tijuca, RIO DE JANEIRO, RIO DE JANEIRO, 22.640-101 BR</v>
    <v>Electrical Utilities &amp; IPPs</v>
    <v>TAEE4</v>
    <v>Ações</v>
    <v>Transmissora Aliança de Energia Elétrica S/A (BVMF:TAEE4)</v>
    <v>0.02</v>
    <v>1.7330000000000002E-3</v>
    <v>58100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18.64</v>
    <v>1997</v>
    <v>17.82</v>
    <v>0.74160000000000004</v>
    <v>B3 - Brazil Stock Exchange</v>
    <v>34333625190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17.96</v>
    <v>8602</v>
    <v>45838.697919142971</v>
    <v>166</v>
    <v>10105440</v>
    <v>BRL</v>
    <v>RUMO S.A.</v>
    <v>RUMO S.A.</v>
    <v>17.84</v>
    <v>18.510000000000002</v>
    <v>Rua Emilio Bertolini, 100 - Cajuru, CURITIBA, PARANA, 82.920-030 BR</v>
    <v>Freight &amp; Logistics Services</v>
    <v>RAIL3</v>
    <v>Ações</v>
    <v>RUMO S.A. (BVMF:RAIL3)</v>
    <v>0.55000000000000004</v>
    <v>3.0623999999999998E-2</v>
    <v>6224000</v>
  </rv>
  <rv s="2">
    <v>167</v>
  </rv>
  <rv s="0">
    <v>https://www.bing.com/financeapi/forcetrigger?t=apmeec&amp;q=BVMF%3aCYRE3&amp;form=skydnc</v>
    <v>Learn more on Bing</v>
  </rv>
  <rv s="9">
    <v>pt-BR</v>
    <v>apmeec</v>
    <v>268435456</v>
    <v>1</v>
    <v>Da plataforma Refinitiv</v>
    <v>17</v>
    <v>18</v>
    <v>Cyrela Brazil Realty S.A. Empreendimentos e Participações (BVMF:CYRE3)</v>
    <v>12</v>
    <v>19</v>
    <v>Finance</v>
    <v>5</v>
    <v>26.97</v>
    <v>15.44</v>
    <v>BVMF</v>
    <v>384000000</v>
    <v>26.19</v>
    <v>1993</v>
    <v>25.36</v>
    <v>1.6887000000000001</v>
    <v>B3 - Brazil Stock Exchange</v>
    <v>9999360000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25.62</v>
    <v>45838.698044490622</v>
    <v>169</v>
    <v>4158760</v>
    <v>BRL</v>
    <v>Cyrela Brazil Realty S.A. Empreendimentos e Participações</v>
    <v>Cyrela Brazil Realty S.A. Empreendimentos e Participações</v>
    <v>25.58</v>
    <v>26.04</v>
    <v>Rua do Rocio,109, 2 andar Sala01 Parte, Vila Olimpia, SAO PAULO, SAO PAULO, 04.552-000 BR</v>
    <v>Real Estate Operations</v>
    <v>CYRE3</v>
    <v>Ações</v>
    <v>Cyrela Brazil Realty S.A. Empreendimentos e Participações (BVMF:CYRE3)</v>
    <v>0.42</v>
    <v>1.6393000000000001E-2</v>
    <v>1345500</v>
  </rv>
  <rv s="2">
    <v>170</v>
  </rv>
  <rv s="0">
    <v>https://www.bing.com/financeapi/forcetrigger?t=c1s56h&amp;q=BVMF%3aCXSE3&amp;form=skydnc</v>
    <v>Learn more on Bing</v>
  </rv>
  <rv s="8">
    <v>pt-BR</v>
    <v>c1s56h</v>
    <v>268435456</v>
    <v>1</v>
    <v>Da plataforma Refinitiv</v>
    <v>14</v>
    <v>15</v>
    <v>Caixa Seguridade Participações S.A (BVMF:CXSE3)</v>
    <v>12</v>
    <v>16</v>
    <v>Finance</v>
    <v>5</v>
    <v>16.5</v>
    <v>12.67</v>
    <v>BVMF</v>
    <v>3000000000</v>
    <v>14.69</v>
    <v>2015</v>
    <v>14.4</v>
    <v>0.95230000000000004</v>
    <v>B3 - Brazil Stock Exchange</v>
    <v>43980000000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14.38</v>
    <v>135</v>
    <v>45838.698055555556</v>
    <v>172</v>
    <v>5045400</v>
    <v>BRL</v>
    <v>Caixa Seguridade Participações S.A</v>
    <v>Caixa Seguridade Participações S.A</v>
    <v>14.4</v>
    <v>14.66</v>
    <v>SAUS Quadra 3 Bloco E, 3 andar, Asa Sul, BRASILIA, DISTRITO FEDERAL, 70.070-030 BR</v>
    <v>Insurance</v>
    <v>CXSE3</v>
    <v>Ações</v>
    <v>Caixa Seguridade Participações S.A (BVMF:CXSE3)</v>
    <v>0.28000000000000003</v>
    <v>1.9471000000000002E-2</v>
    <v>1522700</v>
  </rv>
  <rv s="2">
    <v>173</v>
  </rv>
  <rv s="0">
    <v>https://www.bing.com/financeapi/forcetrigger?t=c1rkkr&amp;q=BVMF%3aALLD3&amp;form=skydnc</v>
    <v>Learn more on Bing</v>
  </rv>
  <rv s="9">
    <v>pt-BR</v>
    <v>c1rkkr</v>
    <v>268435456</v>
    <v>1</v>
    <v>Da plataforma Refinitiv</v>
    <v>17</v>
    <v>18</v>
    <v>Allied Tecnologia S.A. (BVMF:ALLD3)</v>
    <v>12</v>
    <v>19</v>
    <v>Finance</v>
    <v>5</v>
    <v>7.9</v>
    <v>6.17</v>
    <v>BVMF</v>
    <v>94507240</v>
    <v>6.93</v>
    <v>2014</v>
    <v>6.85</v>
    <v>1.2258</v>
    <v>B3 - Brazil Stock Exchange</v>
    <v>654935173</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6.84</v>
    <v>45838.696261574078</v>
    <v>175</v>
    <v>43320</v>
    <v>BRL</v>
    <v>Allied Tecnologia S.A.</v>
    <v>Allied Tecnologia S.A.</v>
    <v>6.85</v>
    <v>6.93</v>
    <v>Rodovia Vice-Prefeito Hermenegildo Tonolli, 1.500 Lote GLA2/Galpao 04B, Distrito Industrial, JUNDIAI, SAO PAULO, 13.213-086 BR</v>
    <v>Computers, Phones &amp; Household Electronics</v>
    <v>ALLD3</v>
    <v>Ações</v>
    <v>Allied Tecnologia S.A. (BVMF:ALLD3)</v>
    <v>0.09</v>
    <v>1.3158000000000001E-2</v>
    <v>3900</v>
  </rv>
  <rv s="2">
    <v>176</v>
  </rv>
  <rv s="0">
    <v>https://www.bing.com/financeapi/forcetrigger?t=apmofr&amp;q=BVMF%3aDEXP3&amp;form=skydnc</v>
    <v>Learn more on Bing</v>
  </rv>
  <rv s="9">
    <v>pt-BR</v>
    <v>apmofr</v>
    <v>268435456</v>
    <v>1</v>
    <v>Da plataforma Refinitiv</v>
    <v>17</v>
    <v>18</v>
    <v>DEXXOS PARTICIPAÇÕES S.A. (BVMF:DEXP3)</v>
    <v>12</v>
    <v>19</v>
    <v>Finance</v>
    <v>5</v>
    <v>10.17</v>
    <v>6.93</v>
    <v>BVMF</v>
    <v>103538800</v>
    <v>9.2200000000000006</v>
    <v>1997</v>
    <v>9.1</v>
    <v>1.1133</v>
    <v>B3 - Brazil Stock Exchange</v>
    <v>949450796</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9.15</v>
    <v>45838.6968948375</v>
    <v>178</v>
    <v>98750</v>
    <v>BRL</v>
    <v>DEXXOS PARTICIPAÇÕES S.A.</v>
    <v>DEXXOS PARTICIPAÇÕES S.A.</v>
    <v>9.14</v>
    <v>9.17</v>
    <v>Rua Do Passeio 70 5 Andar, Centro, RIO DE JANEIRO, RIO DE JANEIRO, 20.021-290 BR</v>
    <v>Chemicals</v>
    <v>DEXP3</v>
    <v>Ações</v>
    <v>DEXXOS PARTICIPAÇÕES S.A. (BVMF:DEXP3)</v>
    <v>0.02</v>
    <v>2.186E-3</v>
    <v>28900</v>
  </rv>
  <rv s="2">
    <v>179</v>
  </rv>
  <rv s="0">
    <v>https://www.bing.com/financeapi/forcetrigger?t=apnkjc&amp;q=BVMF%3aVLID3&amp;form=skydnc</v>
    <v>Learn more on Bing</v>
  </rv>
  <rv s="8">
    <v>pt-BR</v>
    <v>apnkjc</v>
    <v>268435456</v>
    <v>1</v>
    <v>Da plataforma Refinitiv</v>
    <v>14</v>
    <v>15</v>
    <v>VALID SOLUÇÕES S.A. (BVMF:VLID3)</v>
    <v>12</v>
    <v>16</v>
    <v>Finance</v>
    <v>5</v>
    <v>28.1</v>
    <v>13.13</v>
    <v>BVMF</v>
    <v>81836380</v>
    <v>25.74</v>
    <v>1957</v>
    <v>25</v>
    <v>1.3029999999999999</v>
    <v>B3 - Brazil Stock Exchange</v>
    <v>2090919509</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25.13</v>
    <v>5000</v>
    <v>45838.697876353908</v>
    <v>181</v>
    <v>305430</v>
    <v>BRL</v>
    <v>VALID SOLUÇÕES S.A.</v>
    <v>VALID SOLUÇÕES S.A.</v>
    <v>25.21</v>
    <v>25.55</v>
    <v>R Laura Maiello Kook 511, Ipanema Das Pedras, SOROCABA, SAO PAULO, 18.052-445 BR</v>
    <v>Professional &amp; Commercial Services</v>
    <v>VLID3</v>
    <v>Ações</v>
    <v>VALID SOLUÇÕES S.A. (BVMF:VLID3)</v>
    <v>0.42</v>
    <v>1.6712999999999999E-2</v>
    <v>107300</v>
  </rv>
  <rv s="2">
    <v>182</v>
  </rv>
  <rv s="0">
    <v>https://www.bing.com/financeapi/forcetrigger?t=apmphw&amp;q=BVMF%3aHAGA3&amp;form=skydnc</v>
    <v>Learn more on Bing</v>
  </rv>
  <rv s="9">
    <v>pt-BR</v>
    <v>apmphw</v>
    <v>268435456</v>
    <v>1</v>
    <v>Da plataforma Refinitiv</v>
    <v>17</v>
    <v>18</v>
    <v>HAGA S.A. INDUSTRIA E COMERCIO (BVMF:HAGA3)</v>
    <v>12</v>
    <v>19</v>
    <v>Finance</v>
    <v>5</v>
    <v>3.24</v>
    <v>1.75</v>
    <v>BVMF</v>
    <v>11900000</v>
    <v>1.96</v>
    <v>1937</v>
    <v>1.93</v>
    <v>0.98950000000000005</v>
    <v>B3 - Brazil Stock Exchange</v>
    <v>17294670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1.93</v>
    <v>45835.786258506247</v>
    <v>184</v>
    <v>8020</v>
    <v>BRL</v>
    <v>HAGA S.A. INDUSTRIA E COMERCIO</v>
    <v>HAGA S.A. INDUSTRIA E COMERCIO</v>
    <v>1.93</v>
    <v>1.94</v>
    <v>Avenida Engenheiro Hans Gaiser, 26,Predio, Centro, NOVA FRIBURGO, RIO DE JANEIRO, 28.605-220 BR</v>
    <v>Specialty Retailers</v>
    <v>HAGA3</v>
    <v>Ações</v>
    <v>HAGA S.A. INDUSTRIA E COMERCIO (BVMF:HAGA3)</v>
    <v>0.01</v>
    <v>5.1809999999999998E-3</v>
    <v>700</v>
  </rv>
  <rv s="2">
    <v>185</v>
  </rv>
  <rv s="0">
    <v>https://www.bing.com/financeapi/forcetrigger?t=bwn8hw&amp;q=BVMF%3aRRRP3&amp;form=skydnc</v>
    <v>Learn more on Bing</v>
  </rv>
  <rv s="8">
    <v>pt-BR</v>
    <v>bwn8hw</v>
    <v>268435456</v>
    <v>1</v>
    <v>Da plataforma Refinitiv</v>
    <v>14</v>
    <v>15</v>
    <v>Brava Energia S.A. (BVMF:BRAV3)</v>
    <v>12</v>
    <v>16</v>
    <v>Finance</v>
    <v>5</v>
    <v>30.28</v>
    <v>15.26</v>
    <v>BVMF</v>
    <v>464180800</v>
    <v>17.260000000000002</v>
    <v>2010</v>
    <v>16.87</v>
    <v>1.2877000000000001</v>
    <v>B3 - Brazil Stock Exchange</v>
    <v>7974626144</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17.2</v>
    <v>531</v>
    <v>45838.697962962964</v>
    <v>187</v>
    <v>10083200</v>
    <v>BRL</v>
    <v>Brava Energia S.A.</v>
    <v>Brava Energia S.A.</v>
    <v>17.22</v>
    <v>17.18</v>
    <v>Praia de Botafogo, 186, SL 1401, 1501, Botafogo, Rio De Janeiro, RIO DE JANEIRO, 22.250-145 BR</v>
    <v>Oil &amp; Gas</v>
    <v>BRAV3</v>
    <v>Ações</v>
    <v>Brava Energia S.A. (BVMF:BRAV3)</v>
    <v>-0.02</v>
    <v>-1.163E-3</v>
    <v>4014000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11.33</v>
    <v>8.06</v>
    <v>BVMF</v>
    <v>234178200</v>
    <v>10.84</v>
    <v>1980</v>
    <v>10.61</v>
    <v>1.679</v>
    <v>B3 - Brazil Stock Exchange</v>
    <v>2529124560</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10.66</v>
    <v>1205</v>
    <v>45838.697824074072</v>
    <v>190</v>
    <v>896390</v>
    <v>BRL</v>
    <v>Mills Locação, Serviços e Logística S.A</v>
    <v>Mills Locação, Serviços e Logística S.A</v>
    <v>10.73</v>
    <v>10.8</v>
    <v>Avenida Dra. Ruth Cardoso, n 7815 - CJ 401-B, Pinheiros, SAO PAULO, SAO PAULO, 05.425-905 BR</v>
    <v>Professional &amp; Commercial Services</v>
    <v>MILS3</v>
    <v>Ações</v>
    <v>Mills Locação, Serviços e Logística S.A (BVMF:MILS3)</v>
    <v>0.14000000000000001</v>
    <v>1.3132999999999999E-2</v>
    <v>190900</v>
  </rv>
  <rv s="2">
    <v>191</v>
  </rv>
  <rv s="0">
    <v>https://www.bing.com/financeapi/forcetrigger?t=apne6h&amp;q=BVMF%3aSTBP3&amp;form=skydnc</v>
    <v>Learn more on Bing</v>
  </rv>
  <rv s="8">
    <v>pt-BR</v>
    <v>apne6h</v>
    <v>268435456</v>
    <v>1</v>
    <v>Da plataforma Refinitiv</v>
    <v>14</v>
    <v>15</v>
    <v>SANTOS BRASIL PARTICIPAÇÕES S.A. (BVMF:STBP3)</v>
    <v>12</v>
    <v>16</v>
    <v>Finance</v>
    <v>5</v>
    <v>13.84</v>
    <v>10.52</v>
    <v>BVMF</v>
    <v>864170300</v>
    <v>13.8</v>
    <v>1998</v>
    <v>13.76</v>
    <v>1.2466999999999999</v>
    <v>B3 - Brazil Stock Exchange</v>
    <v>11916908437</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13.75</v>
    <v>3703</v>
    <v>45838.697958217184</v>
    <v>193</v>
    <v>4274760</v>
    <v>BRL</v>
    <v>SANTOS BRASIL PARTICIPAÇÕES S.A.</v>
    <v>SANTOS BRASIL PARTICIPAÇÕES S.A.</v>
    <v>13.79</v>
    <v>13.79</v>
    <v>Rua Joaquim Floriano, 413 - 10 andar cj 101 e 102, Itaim Bibi, SAO PAULO, SAO PAULO, 04.534-011 BR</v>
    <v>Transport Infrastructure</v>
    <v>STBP3</v>
    <v>Ações</v>
    <v>SANTOS BRASIL PARTICIPAÇÕES S.A. (BVMF:STBP3)</v>
    <v>0.04</v>
    <v>2.9090000000000001E-3</v>
    <v>2324600</v>
  </rv>
  <rv s="2">
    <v>194</v>
  </rv>
  <rv s="0">
    <v>https://www.bing.com/financeapi/forcetrigger?t=ayd527&amp;q=BVMF%3aVBBR3&amp;form=skydnc</v>
    <v>Learn more on Bing</v>
  </rv>
  <rv s="8">
    <v>pt-BR</v>
    <v>ayd527</v>
    <v>268435456</v>
    <v>1</v>
    <v>Da plataforma Refinitiv</v>
    <v>14</v>
    <v>15</v>
    <v>Vibra Energia S.A. (BVMF:VBBR3)</v>
    <v>12</v>
    <v>16</v>
    <v>Finance</v>
    <v>5</v>
    <v>25.31</v>
    <v>15.33</v>
    <v>BVMF</v>
    <v>1119000000</v>
    <v>21.85</v>
    <v>1971</v>
    <v>21.33</v>
    <v>1.0162</v>
    <v>B3 - Brazil Stock Exchange</v>
    <v>24304680000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21.21</v>
    <v>3814</v>
    <v>45838.697997685187</v>
    <v>196</v>
    <v>10619940</v>
    <v>BRL</v>
    <v>Vibra Energia S.A.</v>
    <v>Vibra Energia S.A.</v>
    <v>21.66</v>
    <v>21.72</v>
    <v>Rua Correia Vasques n 250 4 andar, Cidade Nova, RIO DE JANEIRO, RIO DE JANEIRO, 20.211-140 BR</v>
    <v>Oil &amp; Gas</v>
    <v>VBBR3</v>
    <v>Ações</v>
    <v>Vibra Energia S.A. (BVMF:VBBR3)</v>
    <v>0.51</v>
    <v>2.4045E-2</v>
    <v>5198300</v>
  </rv>
  <rv s="2">
    <v>197</v>
  </rv>
  <rv s="0">
    <v>https://www.bing.com/financeapi/forcetrigger?t=apmm2w&amp;q=BVMF%3aFRAS3&amp;form=skydnc</v>
    <v>Learn more on Bing</v>
  </rv>
  <rv s="9">
    <v>pt-BR</v>
    <v>apmm2w</v>
    <v>268435456</v>
    <v>1</v>
    <v>Da plataforma Refinitiv</v>
    <v>17</v>
    <v>18</v>
    <v>FRAS-LE S.A. (BVMF:FRAS3)</v>
    <v>12</v>
    <v>19</v>
    <v>Finance</v>
    <v>5</v>
    <v>29.94</v>
    <v>17.77</v>
    <v>BVMF</v>
    <v>270016300</v>
    <v>27.57</v>
    <v>1954</v>
    <v>26.9</v>
    <v>0.93489999999999995</v>
    <v>B3 - Brazil Stock Exchange</v>
    <v>7384945805</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27.01</v>
    <v>45838.697937881247</v>
    <v>199</v>
    <v>410160</v>
    <v>BRL</v>
    <v>FRAS-LE S.A.</v>
    <v>FRAS-LE S.A.</v>
    <v>26.9</v>
    <v>27.35</v>
    <v>Rodovia RS 122, Km 66, n 10.945 Predio adm, Forqueta, CAXIAS DO SUL, RIO GRANDE DO SUL, 95.010-550 BR</v>
    <v>Automobiles &amp; Auto Parts</v>
    <v>FRAS3</v>
    <v>Ações</v>
    <v>FRAS-LE S.A. (BVMF:FRAS3)</v>
    <v>0.34</v>
    <v>1.2587999999999998E-2</v>
    <v>144800</v>
  </rv>
  <rv s="2">
    <v>200</v>
  </rv>
  <rv s="0">
    <v>https://www.bing.com/financeapi/forcetrigger?t=aplvu2&amp;q=BVMF%3aALUP4&amp;form=skydnc</v>
    <v>Learn more on Bing</v>
  </rv>
  <rv s="8">
    <v>pt-BR</v>
    <v>aplvu2</v>
    <v>268435456</v>
    <v>1</v>
    <v>Da plataforma Refinitiv</v>
    <v>14</v>
    <v>15</v>
    <v>Alupar Investimento S.A. (BVMF:ALUP4)</v>
    <v>12</v>
    <v>16</v>
    <v>Finance</v>
    <v>5</v>
    <v>10.3</v>
    <v>8.19</v>
    <v>BVMF</v>
    <v>329626900</v>
    <v>10.029999999999999</v>
    <v>2006</v>
    <v>9.7899999999999991</v>
    <v>0.59989999999999999</v>
    <v>B3 - Brazil Stock Exchange</v>
    <v>10010770000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9.83</v>
    <v>906</v>
    <v>45838.690578703703</v>
    <v>202</v>
    <v>1722530</v>
    <v>BRL</v>
    <v>Alupar Investimento S.A.</v>
    <v>Alupar Investimento S.A.</v>
    <v>9.7899999999999991</v>
    <v>10.01</v>
    <v>Rua Gomes de Carvalho, n 1996 16 andar, Vila Olimpia, SAO PAULO, SAO PAULO, 04.547-006 BR</v>
    <v>Electrical Utilities &amp; IPPs</v>
    <v>ALUP4</v>
    <v>Ações</v>
    <v>Alupar Investimento S.A. (BVMF:ALUP4)</v>
    <v>0.18</v>
    <v>1.8311000000000001E-2</v>
    <v>12000</v>
  </rv>
  <rv s="2">
    <v>203</v>
  </rv>
  <rv s="0">
    <v>https://www.bing.com/financeapi/forcetrigger?t=apnhim&amp;q=BVMF%3aTRIS3&amp;form=skydnc</v>
    <v>Learn more on Bing</v>
  </rv>
  <rv s="8">
    <v>pt-BR</v>
    <v>apnhim</v>
    <v>268435456</v>
    <v>1</v>
    <v>Da plataforma Refinitiv</v>
    <v>14</v>
    <v>15</v>
    <v>TRISUL S.A. (BVMF:TRIS3)</v>
    <v>12</v>
    <v>16</v>
    <v>Finance</v>
    <v>5</v>
    <v>8.1</v>
    <v>3.97</v>
    <v>BVMF</v>
    <v>186617500</v>
    <v>7.36</v>
    <v>2007</v>
    <v>7.16</v>
    <v>1.5444</v>
    <v>B3 - Brazil Stock Exchange</v>
    <v>1352976875</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7.2</v>
    <v>379</v>
    <v>45838.697835648149</v>
    <v>205</v>
    <v>378810</v>
    <v>BRL</v>
    <v>TRISUL S.A.</v>
    <v>TRISUL S.A.</v>
    <v>7.29</v>
    <v>7.25</v>
    <v>Alameda dos Jaunas, 70, Indianopolis, SAO PAULO, SAO PAULO, 01.311-902 BR</v>
    <v>Homebuilding &amp; Construction Supplies</v>
    <v>TRIS3</v>
    <v>Ações</v>
    <v>TRISUL S.A. (BVMF:TRIS3)</v>
    <v>0.05</v>
    <v>6.9440000000000005E-3</v>
    <v>123400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34.950000000000003</v>
    <v>1998</v>
    <v>34.200000000000003</v>
    <v>1.1739999999999999</v>
    <v>B3 - Brazil Stock Exchange</v>
    <v>2303501908</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34.630000000000003</v>
    <v>5086</v>
    <v>45838.697789351849</v>
    <v>208</v>
    <v>259660</v>
    <v>BRL</v>
    <v>Tegma Gestão Logística S.A</v>
    <v>Tegma Gestão Logística S.A</v>
    <v>34.44</v>
    <v>34.9</v>
    <v>Av. Nicola Demarchi, 2000, Demarchi, SAO BERNARDO DO CAMPO, SAO PAULO, 09.820-655 BR</v>
    <v>Freight &amp; Logistics Services</v>
    <v>TGMA3</v>
    <v>Ações</v>
    <v>Tegma Gestão Logística S.A (BVMF:TGMA3)</v>
    <v>0.27</v>
    <v>7.7969999999999992E-3</v>
    <v>52900</v>
  </rv>
  <rv s="2">
    <v>209</v>
  </rv>
  <rv s="0">
    <v>https://www.bing.com/financeapi/forcetrigger?t=apn9cw&amp;q=BVMF%3aREDE3&amp;form=skydnc</v>
    <v>Learn more on Bing</v>
  </rv>
  <rv s="8">
    <v>pt-BR</v>
    <v>apn9cw</v>
    <v>268435456</v>
    <v>1</v>
    <v>Da plataforma Refinitiv</v>
    <v>14</v>
    <v>15</v>
    <v>Rede Energia Participações S.A (BVMF:REDE3)</v>
    <v>12</v>
    <v>16</v>
    <v>Finance</v>
    <v>5</v>
    <v>7.23</v>
    <v>5.84</v>
    <v>BVMF</v>
    <v>2110323000</v>
    <v>6.67</v>
    <v>1929</v>
    <v>6.5</v>
    <v>0.21429999999999999</v>
    <v>B3 - Brazil Stock Exchange</v>
    <v>13928131800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6.63</v>
    <v>7703</v>
    <v>45838.674155092594</v>
    <v>211</v>
    <v>1390</v>
    <v>BRL</v>
    <v>Rede Energia Participações S.A</v>
    <v>Rede Energia Participações S.A</v>
    <v>6.57</v>
    <v>6.6</v>
    <v>Praca Rui Barbosa,n 80, Centro, CATAGUASES, MINAS GERAIS, 36.770-901 BR</v>
    <v>Electrical Utilities &amp; IPPs</v>
    <v>REDE3</v>
    <v>Ações</v>
    <v>Rede Energia Participações S.A (BVMF:REDE3)</v>
    <v>-0.03</v>
    <v>-4.5250000000000004E-3</v>
    <v>2100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0.92</v>
    <v>2006</v>
    <v>0.84</v>
    <v>1.3413999999999999</v>
    <v>B3 - Brazil Stock Exchange</v>
    <v>336816200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0.91</v>
    <v>141</v>
    <v>45838.697002314817</v>
    <v>214</v>
    <v>55880</v>
    <v>BRL</v>
    <v>RENOVA ENERGIA S.A. - EM RECUPERAÇÃO JUDICIAL</v>
    <v>RENOVA ENERGIA S.A. - EM RECUPERAÇÃO JUDICIAL</v>
    <v>0.92</v>
    <v>0.86</v>
    <v>Avenida das Nacoes Unidas, n 10.989, conjunto 82, Vila Olimpia, SAO PAULO, SAO PAULO, 04.578-000 BR</v>
    <v>Electrical Utilities &amp; IPPs</v>
    <v>RNEW3</v>
    <v>Ações</v>
    <v>RENOVA ENERGIA S.A. - EM RECUPERAÇÃO JUDICIAL (BVMF:RNEW3)</v>
    <v>-0.05</v>
    <v>-5.4945000000000001E-2</v>
    <v>61900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2.39</v>
    <v>2009</v>
    <v>2.33</v>
    <v>2.5156999999999998</v>
    <v>B3 - Brazil Stock Exchange</v>
    <v>1245650907</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2.35</v>
    <v>2000</v>
    <v>45838.697830092191</v>
    <v>217</v>
    <v>12095440</v>
    <v>BRL</v>
    <v>CVC Brasil Operadora e Agência de Viagens S.A.</v>
    <v>CVC Brasil Operadora e Agência de Viagens S.A.</v>
    <v>2.35</v>
    <v>2.37</v>
    <v>Rua da Catequese, 227, 11 andar, sala 111, Jardim, SANTO ANDRE, SAO PAULO, 09.090-401 BR</v>
    <v>Hotels &amp; Entertainment Services</v>
    <v>CVCB3</v>
    <v>Ações</v>
    <v>CVC Brasil Operadora e Agência de Viagens S.A. (BVMF:CVCB3)</v>
    <v>0.02</v>
    <v>8.5109999999999995E-3</v>
    <v>3824100</v>
  </rv>
  <rv s="2">
    <v>218</v>
  </rv>
  <rv s="0">
    <v>https://www.bing.com/financeapi/forcetrigger?t=bxo6p2&amp;q=BVMF%3aORVR3&amp;form=skydnc</v>
    <v>Learn more on Bing</v>
  </rv>
  <rv s="9">
    <v>pt-BR</v>
    <v>bxo6p2</v>
    <v>268435456</v>
    <v>1</v>
    <v>Da plataforma Refinitiv</v>
    <v>17</v>
    <v>18</v>
    <v>Orizon Valorização de Resíduos S.A. (BVMF:ORVR3)</v>
    <v>12</v>
    <v>19</v>
    <v>Finance</v>
    <v>5</v>
    <v>54.47</v>
    <v>36.04</v>
    <v>BVMF</v>
    <v>88656280</v>
    <v>54.22</v>
    <v>2009</v>
    <v>53.08</v>
    <v>0.88400000000000001</v>
    <v>B3 - Brazil Stock Exchange</v>
    <v>4777686929</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53.51</v>
    <v>45838.697442129633</v>
    <v>220</v>
    <v>493620</v>
    <v>BRL</v>
    <v>Orizon Valorização de Resíduos S.A.</v>
    <v>Orizon Valorização de Resíduos S.A.</v>
    <v>53.4</v>
    <v>53.89</v>
    <v>Avenida das Nacoes Unidas, 12.901 8 andar, Torre Oest, Brooklin Paulista, SAO PAULO, SAO PAULO, 04.578-910 BR</v>
    <v>Professional &amp; Commercial Services</v>
    <v>ORVR3</v>
    <v>Ações</v>
    <v>Orizon Valorização de Resíduos S.A. (BVMF:ORVR3)</v>
    <v>0.38</v>
    <v>7.1009999999999997E-3</v>
    <v>109600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44.81</v>
    <v>1939</v>
    <v>44.18</v>
    <v>1.3124</v>
    <v>B3 - Brazil Stock Exchange</v>
    <v>3646919178</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44.28</v>
    <v>399</v>
    <v>45838.698101851849</v>
    <v>223</v>
    <v>888310</v>
    <v>BRL</v>
    <v>IRB-Brasil Resseguros S.A.</v>
    <v>IRB-Brasil Resseguros S.A.</v>
    <v>44.28</v>
    <v>44.56</v>
    <v>Av. Republica do Chile, n 330, Torre Leste, e 4 andares, Centro, RIO DE JANEIRO, RIO DE JANEIRO, 20.031-170 BR</v>
    <v>Insurance</v>
    <v>IRBR3</v>
    <v>Ações</v>
    <v>IRB-Brasil Resseguros S.A. (BVMF:IRBR3)</v>
    <v>0.28000000000000003</v>
    <v>6.3229999999999996E-3</v>
    <v>229200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10.39</v>
    <v>BVMF</v>
    <v>22500000</v>
    <v>14.55</v>
    <v>1924</v>
    <v>14.25</v>
    <v>0.55900000000000005</v>
    <v>B3 - Brazil Stock Exchange</v>
    <v>327000000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14.1</v>
    <v>1405</v>
    <v>45838.696441631248</v>
    <v>226</v>
    <v>11460</v>
    <v>BRL</v>
    <v>ELECTRO ACO ALTONA S.A.</v>
    <v>ELECTRO ACO ALTONA S.A.</v>
    <v>14.26</v>
    <v>14.46</v>
    <v>Rua Eng. Paul Werner 925,CONTABILIDADE, itoupava Seca, BLUMENAU, SANTA CATARINA, 89.030-900 BR</v>
    <v>Metals &amp; Mining</v>
    <v>EALT4</v>
    <v>Ações</v>
    <v>ELECTRO ACO ALTONA S.A. (BVMF:EALT4)</v>
    <v>0.36</v>
    <v>2.5531999999999999E-2</v>
    <v>6100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5.49</v>
    <v>1971</v>
    <v>5.29</v>
    <v>0.85429999999999995</v>
    <v>B3 - Brazil Stock Exchange</v>
    <v>4898728800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5.4</v>
    <v>17370</v>
    <v>45838.697936260935</v>
    <v>229</v>
    <v>1592950</v>
    <v>BRL</v>
    <v>Grendene S.A.</v>
    <v>Grendene S.A.</v>
    <v>5.4</v>
    <v>5.43</v>
    <v>Avenida Pimentel Gomes 214, Expectativa, SOBRAL, CEARA, 62.040-125 BR</v>
    <v>Textiles &amp; Apparel</v>
    <v>GRND3</v>
    <v>Ações</v>
    <v>Grendene S.A. (BVMF:GRND3)</v>
    <v>0.03</v>
    <v>5.5560000000000002E-3</v>
    <v>16305900</v>
  </rv>
  <rv s="2">
    <v>230</v>
  </rv>
  <rv s="0">
    <v>https://www.bing.com/financeapi/forcetrigger?t=apm3ar&amp;q=BVMF%3aBPAN4&amp;form=skydnc</v>
    <v>Learn more on Bing</v>
  </rv>
  <rv s="8">
    <v>pt-BR</v>
    <v>apm3ar</v>
    <v>268435456</v>
    <v>1</v>
    <v>Da plataforma Refinitiv</v>
    <v>14</v>
    <v>15</v>
    <v>BANCO PAN S.A. (BVMF:BPAN4)</v>
    <v>12</v>
    <v>16</v>
    <v>Finance</v>
    <v>5</v>
    <v>10.55</v>
    <v>6.14</v>
    <v>BVMF</v>
    <v>611509500</v>
    <v>8.1300000000000008</v>
    <v>1966</v>
    <v>7.99</v>
    <v>1.5394000000000001</v>
    <v>B3 - Brazil Stock Exchange</v>
    <v>4934881665</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8.07</v>
    <v>2433</v>
    <v>45838.698055555556</v>
    <v>232</v>
    <v>944070</v>
    <v>BRL</v>
    <v>BANCO PAN S.A.</v>
    <v>BANCO PAN S.A.</v>
    <v>8.01</v>
    <v>8.07</v>
    <v>Avenida Paulista, 1374 16 andar, Bela Vista, SAO PAULO, SAO PAULO, 01.310-100 BR</v>
    <v>Banking Services</v>
    <v>BPAN4</v>
    <v>Ações</v>
    <v>BANCO PAN S.A. (BVMF:BPAN4)</v>
    <v>0</v>
    <v>0</v>
    <v>299300</v>
  </rv>
  <rv s="2">
    <v>233</v>
  </rv>
  <rv s="0">
    <v>https://www.bing.com/financeapi/forcetrigger?t=apnlim&amp;q=BVMF%3aWEGE3&amp;form=skydnc</v>
    <v>Learn more on Bing</v>
  </rv>
  <rv s="8">
    <v>pt-BR</v>
    <v>apnlim</v>
    <v>268435456</v>
    <v>1</v>
    <v>Da plataforma Refinitiv</v>
    <v>14</v>
    <v>15</v>
    <v>WEG S.A. (BVMF:WEGE3)</v>
    <v>12</v>
    <v>16</v>
    <v>Finance</v>
    <v>5</v>
    <v>59.14</v>
    <v>40.85</v>
    <v>BVMF</v>
    <v>4197318000</v>
    <v>43.13</v>
    <v>1961</v>
    <v>42.23</v>
    <v>0.45469999999999999</v>
    <v>B3 - Brazil Stock Exchange</v>
    <v>179183505420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42.35</v>
    <v>47529</v>
    <v>45838.698127823438</v>
    <v>235</v>
    <v>6589230</v>
    <v>BRL</v>
    <v>WEG S.A.</v>
    <v>WEG S.A.</v>
    <v>42.31</v>
    <v>42.69</v>
    <v>Av. Prefeito Waldemar Grubba,3300, Vila Lalau, JARAGUA DO SUL, SANTA CATARINA, 89.256-900 BR</v>
    <v>Machinery, Equipment &amp; Components</v>
    <v>WEGE3</v>
    <v>Ações</v>
    <v>WEG S.A. (BVMF:WEGE3)</v>
    <v>0.34</v>
    <v>8.0280000000000004E-3</v>
    <v>4915900</v>
  </rv>
  <rv s="2">
    <v>236</v>
  </rv>
  <rv s="0">
    <v>https://www.bing.com/financeapi/forcetrigger?t=apmgoc&amp;q=BVMF%3aEGIE3&amp;form=skydnc</v>
    <v>Learn more on Bing</v>
  </rv>
  <rv s="8">
    <v>pt-BR</v>
    <v>apmgoc</v>
    <v>268435456</v>
    <v>1</v>
    <v>Da plataforma Refinitiv</v>
    <v>14</v>
    <v>15</v>
    <v>ENGIE BRASIL ENERGIA S.A. (BVMF:EGIE3)</v>
    <v>12</v>
    <v>16</v>
    <v>Finance</v>
    <v>5</v>
    <v>45.05</v>
    <v>33.65</v>
    <v>BVMF</v>
    <v>815927700</v>
    <v>45.05</v>
    <v>1998</v>
    <v>44.62</v>
    <v>0.57840000000000003</v>
    <v>B3 - Brazil Stock Exchange</v>
    <v>36675950115</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45.03</v>
    <v>1173</v>
    <v>45838.698104860938</v>
    <v>238</v>
    <v>2184550</v>
    <v>BRL</v>
    <v>ENGIE BRASIL ENERGIA S.A.</v>
    <v>ENGIE BRASIL ENERGIA S.A.</v>
    <v>44.75</v>
    <v>44.95</v>
    <v>Rua Paschoal Apostolo Pitsica, 5064, Agronomica, FLORIANOPOLIS, SANTA CATARINA, 88.025-255 BR</v>
    <v>Electrical Utilities &amp; IPPs</v>
    <v>EGIE3</v>
    <v>Ações</v>
    <v>ENGIE BRASIL ENERGIA S.A. (BVMF:EGIE3)</v>
    <v>-0.08</v>
    <v>-1.7769999999999999E-3</v>
    <v>434600</v>
  </rv>
  <rv s="2">
    <v>239</v>
  </rv>
  <rv s="0">
    <v>https://www.bing.com/financeapi/forcetrigger?t=apmsoc&amp;q=BVMF%3aJBSS3&amp;form=skydnc</v>
    <v>Learn more on Bing</v>
  </rv>
  <rv s="8">
    <v>pt-BR</v>
    <v>apmsoc</v>
    <v>268435456</v>
    <v>1</v>
    <v>Da plataforma Refinitiv</v>
    <v>14</v>
    <v>15</v>
    <v>JBS S.A. (BVMF:JBSS3)</v>
    <v>12</v>
    <v>16</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4.63</v>
    <v>BVMF</v>
    <v>123812800</v>
    <v>8.6300000000000008</v>
    <v>1961</v>
    <v>8.4499999999999993</v>
    <v>1.3031999999999999</v>
    <v>B3 - Brazil Stock Exchange</v>
    <v>1062313824</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8.52</v>
    <v>7077</v>
    <v>45838.698055555556</v>
    <v>244</v>
    <v>145380</v>
    <v>BRL</v>
    <v>Profarma Distribuidora de Produtos Farmacêuticos S.A.</v>
    <v>Profarma Distribuidora de Produtos Farmacêuticos S.A.</v>
    <v>8.5</v>
    <v>8.58</v>
    <v>Avenida Ayrton Senna, 2150, Bloco P - 3 andar, Barra da Tijuca, RIO DE JANEIRO, RIO DE JANEIRO, 22.775-900 BR</v>
    <v>Pharmaceuticals</v>
    <v>PFRM3</v>
    <v>Ações</v>
    <v>Profarma Distribuidora de Produtos Farmacêuticos S.A. (BVMF:PFRM3)</v>
    <v>0.06</v>
    <v>7.0420000000000005E-3</v>
    <v>37100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35.99</v>
    <v>1999</v>
    <v>35.119999999999997</v>
    <v>0.92330000000000001</v>
    <v>B3 - Brazil Stock Exchange</v>
    <v>44925363880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35.28</v>
    <v>1178</v>
    <v>45838.698125000003</v>
    <v>247</v>
    <v>8318400</v>
    <v>BRL</v>
    <v>EQUATORIAL S.A.</v>
    <v>EQUATORIAL S.A.</v>
    <v>35.119999999999997</v>
    <v>35.81</v>
    <v>Alameda A, Quadra SQS, n 100, Loteamento Quitandinha Anexo A, sala 31, Altos do Calhau, SAO LUIS, MARANHAO, 65.070-900 BR</v>
    <v>Electrical Utilities &amp; IPPs</v>
    <v>EQTL3</v>
    <v>Ações</v>
    <v>EQUATORIAL S.A. (BVMF:EQTL3)</v>
    <v>0.53</v>
    <v>1.5023E-2</v>
    <v>2704900</v>
  </rv>
  <rv s="2">
    <v>248</v>
  </rv>
  <rv s="0">
    <v>https://www.bing.com/financeapi/forcetrigger?t=bqyxtc&amp;q=BVMF%3aNEOE3&amp;form=skydnc</v>
    <v>Learn more on Bing</v>
  </rv>
  <rv s="8">
    <v>pt-BR</v>
    <v>bqyxtc</v>
    <v>268435456</v>
    <v>1</v>
    <v>Da plataforma Refinitiv</v>
    <v>14</v>
    <v>15</v>
    <v>NEOENERGIA S.A. (BVMF:NEOE3)</v>
    <v>12</v>
    <v>16</v>
    <v>Finance</v>
    <v>5</v>
    <v>25.8</v>
    <v>17.13</v>
    <v>BVMF</v>
    <v>1213797000</v>
    <v>25.4</v>
    <v>1996</v>
    <v>24.76</v>
    <v>0.77090000000000003</v>
    <v>B3 - Brazil Stock Exchange</v>
    <v>30757615980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24.91</v>
    <v>11746</v>
    <v>45838.697777777779</v>
    <v>250</v>
    <v>1345360</v>
    <v>BRL</v>
    <v>NEOENERGIA S.A.</v>
    <v>NEOENERGIA S.A.</v>
    <v>24.99</v>
    <v>25.34</v>
    <v>Praia do Flamengo, 78, 3 andar, Flamengo, RIO DE JANEIRO, RIO DE JANEIRO, 22.210-030 BR</v>
    <v>Electrical Utilities &amp; IPPs</v>
    <v>NEOE3</v>
    <v>Ações</v>
    <v>NEOENERGIA S.A. (BVMF:NEOE3)</v>
    <v>0.43</v>
    <v>1.7262E-2</v>
    <v>228500</v>
  </rv>
  <rv s="2">
    <v>251</v>
  </rv>
  <rv s="0">
    <v>https://www.bing.com/financeapi/forcetrigger?t=apn5im&amp;q=BVMF%3aPOSI3&amp;form=skydnc</v>
    <v>Learn more on Bing</v>
  </rv>
  <rv s="8">
    <v>pt-BR</v>
    <v>apn5im</v>
    <v>268435456</v>
    <v>1</v>
    <v>Da plataforma Refinitiv</v>
    <v>14</v>
    <v>15</v>
    <v>POSITIVO TECNOLOGIA S.A. (BVMF:POSI3)</v>
    <v>12</v>
    <v>16</v>
    <v>Finance</v>
    <v>5</v>
    <v>8.34</v>
    <v>4.18</v>
    <v>BVMF</v>
    <v>141800000</v>
    <v>4.54</v>
    <v>1989</v>
    <v>4.3600000000000003</v>
    <v>1.8165</v>
    <v>B3 - Brazil Stock Exchange</v>
    <v>638100000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4.41</v>
    <v>7000</v>
    <v>45838.697256944448</v>
    <v>253</v>
    <v>939810</v>
    <v>BRL</v>
    <v>POSITIVO TECNOLOGIA S.A.</v>
    <v>POSITIVO TECNOLOGIA S.A.</v>
    <v>4.43</v>
    <v>4.5</v>
    <v>Rua Joao Bettega, 5200, Nao aplicavel, Cidade Industrial, CURITIBA, PARANA, 81.350-000 BR</v>
    <v>Computers, Phones &amp; Household Electronics</v>
    <v>POSI3</v>
    <v>Ações</v>
    <v>POSITIVO TECNOLOGIA S.A. (BVMF:POSI3)</v>
    <v>0.09</v>
    <v>2.0407999999999999E-2</v>
    <v>356700</v>
  </rv>
  <rv s="2">
    <v>254</v>
  </rv>
  <rv s="0">
    <v>https://www.bing.com/financeapi/forcetrigger?t=bxk8w7&amp;q=BVMF%3aWEST3&amp;form=skydnc</v>
    <v>Learn more on Bing</v>
  </rv>
  <rv s="9">
    <v>pt-BR</v>
    <v>bxk8w7</v>
    <v>268435456</v>
    <v>1</v>
    <v>Da plataforma Refinitiv</v>
    <v>17</v>
    <v>18</v>
    <v>WESTWING COMÉRCIO VAREJISTA S.A. (BVMF:WEST3)</v>
    <v>12</v>
    <v>19</v>
    <v>Finance</v>
    <v>5</v>
    <v>9.6999999999999993</v>
    <v>3.59</v>
    <v>BVMF</v>
    <v>11109350</v>
    <v>3.7</v>
    <v>2012</v>
    <v>3.6</v>
    <v>1.1811</v>
    <v>B3 - Brazil Stock Exchange</v>
    <v>41104595</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3.6</v>
    <v>45838.670972222222</v>
    <v>256</v>
    <v>6840</v>
    <v>BRL</v>
    <v>WESTWING COMÉRCIO VAREJISTA S.A.</v>
    <v>WESTWING COMÉRCIO VAREJISTA S.A.</v>
    <v>3.6</v>
    <v>3.7</v>
    <v>Av. Queiroz Filho, 1700 Torre A e B (partes), Vila Hamburguesa, Sao Paulo, SAO PAULO, 05.319-000 BR</v>
    <v>Specialty Retailers</v>
    <v>WEST3</v>
    <v>Ações</v>
    <v>WESTWING COMÉRCIO VAREJISTA S.A. (BVMF:WEST3)</v>
    <v>0.1</v>
    <v>2.7778000000000001E-2</v>
    <v>6800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29.06</v>
    <v>18.61</v>
    <v>BVMF</v>
    <v>339000000</v>
    <v>24.28</v>
    <v>1951</v>
    <v>23.73</v>
    <v>0.87580000000000002</v>
    <v>B3 - Brazil Stock Exchange</v>
    <v>8051250000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23.9</v>
    <v>16277</v>
    <v>45838.697199074071</v>
    <v>259</v>
    <v>532380</v>
    <v>BRL</v>
    <v>M. Dias Branco S.A. Indústria e Comércio de Alimentos</v>
    <v>M. Dias Branco S.A. Indústria e Comércio de Alimentos</v>
    <v>23.9</v>
    <v>23.75</v>
    <v>Rod Br 116 KM 18 S/N, Jabuti, EUSEBIO, CEARA, 61.760-000 BR</v>
    <v>Food &amp; Tobacco</v>
    <v>MDIA3</v>
    <v>Ações</v>
    <v>M. Dias Branco S.A. Indústria e Comércio de Alimentos (BVMF:MDIA3)</v>
    <v>-0.15</v>
    <v>-6.2760000000000003E-3</v>
    <v>195700</v>
  </rv>
  <rv s="2">
    <v>260</v>
  </rv>
  <rv s="0">
    <v>https://www.bing.com/financeapi/forcetrigger?t=aplym7&amp;q=BVMF%3aBBDC4&amp;form=skydnc</v>
    <v>Learn more on Bing</v>
  </rv>
  <rv s="8">
    <v>pt-BR</v>
    <v>aplym7</v>
    <v>268435456</v>
    <v>1</v>
    <v>Da plataforma Refinitiv</v>
    <v>14</v>
    <v>15</v>
    <v>Banco Bradesco S.A. (BVMF:BBDC4)</v>
    <v>12</v>
    <v>16</v>
    <v>Finance</v>
    <v>5</v>
    <v>16.95</v>
    <v>10.77</v>
    <v>BVMF</v>
    <v>10592010000</v>
    <v>16.78</v>
    <v>1943</v>
    <v>16.48</v>
    <v>1.4864999999999999</v>
    <v>B3 - Brazil Stock Exchange</v>
    <v>163363800000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16.57</v>
    <v>83365</v>
    <v>45838.698113425926</v>
    <v>262</v>
    <v>30720810</v>
    <v>BRL</v>
    <v>Banco Bradesco S.A.</v>
    <v>Banco Bradesco S.A.</v>
    <v>16.53</v>
    <v>16.7</v>
    <v>Nucleo Cidade de Deus s/n, Vila Yara, OSASCO, SAO PAULO, 06.029-900 BR</v>
    <v>Banking Services</v>
    <v>BBDC4</v>
    <v>Ações</v>
    <v>Banco Bradesco S.A. (BVMF:BBDC4)</v>
    <v>0.13</v>
    <v>7.8459999999999988E-3</v>
    <v>8854800</v>
  </rv>
  <rv s="2">
    <v>263</v>
  </rv>
  <rv s="0">
    <v>https://www.bing.com/financeapi/forcetrigger?t=apn75r&amp;q=BVMF%3aPSSA3&amp;form=skydnc</v>
    <v>Learn more on Bing</v>
  </rv>
  <rv s="8">
    <v>pt-BR</v>
    <v>apn75r</v>
    <v>268435456</v>
    <v>1</v>
    <v>Da plataforma Refinitiv</v>
    <v>14</v>
    <v>15</v>
    <v>Porto Seguro S.A. (BVMF:PSSA3)</v>
    <v>12</v>
    <v>16</v>
    <v>Finance</v>
    <v>5</v>
    <v>54.66</v>
    <v>27.54</v>
    <v>BVMF</v>
    <v>646586100</v>
    <v>54.66</v>
    <v>1997</v>
    <v>53.69</v>
    <v>0.82440000000000002</v>
    <v>B3 - Brazil Stock Exchange</v>
    <v>35206613145</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54.18</v>
    <v>13700</v>
    <v>45838.698113425926</v>
    <v>265</v>
    <v>1704280</v>
    <v>BRL</v>
    <v>Porto Seguro S.A.</v>
    <v>Porto Seguro S.A.</v>
    <v>54.13</v>
    <v>54.45</v>
    <v>Alameda Barao de Piracicaba, 618/634 - Torre B, 11 andar, Campos Eliseos, SAO PAULO, SAO PAULO, 01.216-012 BR</v>
    <v>Insurance</v>
    <v>PSSA3</v>
    <v>Ações</v>
    <v>Porto Seguro S.A. (BVMF:PSSA3)</v>
    <v>0.27</v>
    <v>4.9830000000000004E-3</v>
    <v>462800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0.91</v>
    <v>2006</v>
    <v>0.86</v>
    <v>1.3413999999999999</v>
    <v>B3 - Brazil Stock Exchange</v>
    <v>336816200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0.88</v>
    <v>141</v>
    <v>45838.696076388886</v>
    <v>268</v>
    <v>55880</v>
    <v>BRL</v>
    <v>RENOVA ENERGIA S.A. - EM RECUPERAÇÃO JUDICIAL</v>
    <v>RENOVA ENERGIA S.A. - EM RECUPERAÇÃO JUDICIAL</v>
    <v>0.9</v>
    <v>0.86</v>
    <v>Avenida das Nacoes Unidas, n 10.989, conjunto 82, Vila Olimpia, SAO PAULO, SAO PAULO, 04.578-000 BR</v>
    <v>Electrical Utilities &amp; IPPs</v>
    <v>RNEW4</v>
    <v>Ações</v>
    <v>RENOVA ENERGIA S.A. - EM RECUPERAÇÃO JUDICIAL (BVMF:RNEW4)</v>
    <v>-0.02</v>
    <v>-2.2727000000000001E-2</v>
    <v>69000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58.24</v>
    <v>1969</v>
    <v>57.52</v>
    <v>1.2578</v>
    <v>B3 - Brazil Stock Exchange</v>
    <v>6334608000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57.84</v>
    <v>1400</v>
    <v>45838.698109305471</v>
    <v>271</v>
    <v>121120</v>
    <v>BRL</v>
    <v>UNIPAR CARBOCLORO S.A.</v>
    <v>UNIPAR CARBOCLORO S.A.</v>
    <v>57.84</v>
    <v>57.82</v>
    <v>Avenida Presidente Juscelino Kubitschek, n 1327, 22 andar, Itaim Bibi, SAO PAULO, SAO PAULO, 04.543-011 BR</v>
    <v>Chemicals</v>
    <v>UNIP6</v>
    <v>Ações</v>
    <v>UNIPAR CARBOCLORO S.A. (BVMF:UNIP6)</v>
    <v>-0.02</v>
    <v>-3.458E-4</v>
    <v>29100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13.82</v>
    <v>2006</v>
    <v>13.37</v>
    <v>1.611</v>
    <v>B3 - Brazil Stock Exchange</v>
    <v>3027550670</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13.46</v>
    <v>338</v>
    <v>45838.698102418748</v>
    <v>274</v>
    <v>1041300</v>
    <v>BRL</v>
    <v>EZ TEC Empreendimentos e Participações S.A.</v>
    <v>EZ TEC Empreendimentos e Participações S.A.</v>
    <v>13.45</v>
    <v>13.7</v>
    <v>Av. Republica do Libano,1.921, Ibirapuera, SAO PAULO, SAO PAULO, 04.501-002 BR</v>
    <v>Real Estate Operations</v>
    <v>EZTC3</v>
    <v>Ações</v>
    <v>EZ TEC Empreendimentos e Participações S.A. (BVMF:EZTC3)</v>
    <v>0.24</v>
    <v>1.7831E-2</v>
    <v>532000</v>
  </rv>
  <rv s="2">
    <v>275</v>
  </rv>
  <rv s="0">
    <v>https://www.bing.com/financeapi/forcetrigger?t=awjq77&amp;q=BVMF%3aSUZB3&amp;form=skydnc</v>
    <v>Learn more on Bing</v>
  </rv>
  <rv s="8">
    <v>pt-BR</v>
    <v>awjq77</v>
    <v>268435456</v>
    <v>1</v>
    <v>Da plataforma Refinitiv</v>
    <v>14</v>
    <v>15</v>
    <v>SUZANO S.A. (BVMF:SUZB3)</v>
    <v>12</v>
    <v>16</v>
    <v>Finance</v>
    <v>5</v>
    <v>64.709999999999994</v>
    <v>49.26</v>
    <v>BVMF</v>
    <v>1264118000</v>
    <v>51.39</v>
    <v>1987</v>
    <v>50.73</v>
    <v>0.3926</v>
    <v>B3 - Brazil Stock Exchange</v>
    <v>64684918060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51.15</v>
    <v>56000</v>
    <v>45838.698113425926</v>
    <v>277</v>
    <v>5780760</v>
    <v>BRL</v>
    <v>SUZANO S.A.</v>
    <v>SUZANO S.A.</v>
    <v>51.04</v>
    <v>51.17</v>
    <v>Av. Professor Magalhaes Neto,1752 - 10 andar, Salas 1009/1010/1011, Pituba, SALVADOR, BAHIA, 41.810-012 BR</v>
    <v>Paper &amp; Forest Products</v>
    <v>SUZB3</v>
    <v>Ações</v>
    <v>SUZANO S.A. (BVMF:SUZB3)</v>
    <v>0.02</v>
    <v>3.9100000000000002E-4</v>
    <v>1187200</v>
  </rv>
  <rv s="2">
    <v>278</v>
  </rv>
  <rv s="0">
    <v>https://www.bing.com/financeapi/forcetrigger?t=apm1nm&amp;q=BVMF%3aBMEB4&amp;form=skydnc</v>
    <v>Learn more on Bing</v>
  </rv>
  <rv s="8">
    <v>pt-BR</v>
    <v>apm1nm</v>
    <v>268435456</v>
    <v>1</v>
    <v>Da plataforma Refinitiv</v>
    <v>14</v>
    <v>15</v>
    <v>Banco Mercantil do Brasil S.A. (BVMF:BMEB4)</v>
    <v>12</v>
    <v>16</v>
    <v>Finance</v>
    <v>5</v>
    <v>43.25</v>
    <v>26.09</v>
    <v>BVMF</v>
    <v>104831600</v>
    <v>39.75</v>
    <v>1940</v>
    <v>39</v>
    <v>8.5199999999999998E-2</v>
    <v>B3 - Brazil Stock Exchange</v>
    <v>3750601000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40.01</v>
    <v>2958</v>
    <v>45838.698090497659</v>
    <v>280</v>
    <v>11530</v>
    <v>BRL</v>
    <v>Banco Mercantil do Brasil S.A.</v>
    <v>Banco Mercantil do Brasil S.A.</v>
    <v>39</v>
    <v>39.450000000000003</v>
    <v>Rua Rio De Janeiro, 680, Centro, BELO HORIZONTE, MINAS GERAIS, 30.160-912 BR</v>
    <v>Banking Services</v>
    <v>BMEB4</v>
    <v>Ações</v>
    <v>Banco Mercantil do Brasil S.A. (BVMF:BMEB4)</v>
    <v>-0.56000000000000005</v>
    <v>-1.3996999999999999E-2</v>
    <v>5700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11.57</v>
    <v>1954</v>
    <v>11.34</v>
    <v>0.85650000000000004</v>
    <v>B3 - Brazil Stock Exchange</v>
    <v>35461820000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11.43</v>
    <v>4396</v>
    <v>45838.698177650003</v>
    <v>283</v>
    <v>12275230</v>
    <v>BRL</v>
    <v>Companhia Paranaense de Energia - Copel</v>
    <v>Companhia Paranaense de Energia - Copel</v>
    <v>11.41</v>
    <v>11.49</v>
    <v>Rua Jose Izidoro Biazetto, 158, Orleans, CURITIBA, PARANA, 81.200-240 BR</v>
    <v>Electrical Utilities &amp; IPPs</v>
    <v>CPLE3</v>
    <v>Ações</v>
    <v>Companhia Paranaense de Energia - Copel (BVMF:CPLE3)</v>
    <v>0.06</v>
    <v>5.2490000000000002E-3</v>
    <v>2763100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34.380000000000003</v>
    <v>1953</v>
    <v>33.590000000000003</v>
    <v>0.999</v>
    <v>B3 - Brazil Stock Exchange</v>
    <v>421532700000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33.799999999999997</v>
    <v>49185</v>
    <v>45838.698171296295</v>
    <v>286</v>
    <v>47111300</v>
    <v>BRL</v>
    <v>Petróleo Brasileiro S.A. (Petrobras)</v>
    <v>Petróleo Brasileiro S.A. (Petrobras)</v>
    <v>33.69</v>
    <v>34</v>
    <v>Av. Republica do Chile, n 65, 24 andar, Centro, RIO DE JANEIRO, RIO DE JANEIRO, 20.031-912 BR</v>
    <v>Oil &amp; Gas</v>
    <v>PETR3</v>
    <v>Ações</v>
    <v>Petróleo Brasileiro S.A. (Petrobras) (BVMF:PETR3)</v>
    <v>0.2</v>
    <v>5.9170000000000004E-3</v>
    <v>5834800</v>
  </rv>
  <rv s="2">
    <v>287</v>
  </rv>
  <rv s="0">
    <v>https://www.bing.com/financeapi/forcetrigger?t=aplyjc&amp;q=BVMF%3aBBDC3&amp;form=skydnc</v>
    <v>Learn more on Bing</v>
  </rv>
  <rv s="8">
    <v>pt-BR</v>
    <v>aplyjc</v>
    <v>268435456</v>
    <v>1</v>
    <v>Da plataforma Refinitiv</v>
    <v>14</v>
    <v>15</v>
    <v>Banco Bradesco S.A. (BVMF:BBDC3)</v>
    <v>12</v>
    <v>16</v>
    <v>Finance</v>
    <v>5</v>
    <v>14.55</v>
    <v>9.8800000000000008</v>
    <v>BVMF</v>
    <v>10592010000</v>
    <v>14.45</v>
    <v>1943</v>
    <v>14.18</v>
    <v>1.4864999999999999</v>
    <v>B3 - Brazil Stock Exchange</v>
    <v>163363800000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14.28</v>
    <v>83365</v>
    <v>45838.698116562497</v>
    <v>289</v>
    <v>30720810</v>
    <v>BRL</v>
    <v>Banco Bradesco S.A.</v>
    <v>Banco Bradesco S.A.</v>
    <v>14.21</v>
    <v>14.39</v>
    <v>Nucleo Cidade de Deus s/n, Vila Yara, OSASCO, SAO PAULO, 06.029-900 BR</v>
    <v>Banking Services</v>
    <v>BBDC3</v>
    <v>Ações</v>
    <v>Banco Bradesco S.A. (BVMF:BBDC3)</v>
    <v>0.11</v>
    <v>7.7029999999999998E-3</v>
    <v>1941900</v>
  </rv>
  <rv s="2">
    <v>290</v>
  </rv>
  <rv s="0">
    <v>https://www.bing.com/financeapi/forcetrigger?t=apn5cw&amp;q=BVMF%3aPOMO4&amp;form=skydnc</v>
    <v>Learn more on Bing</v>
  </rv>
  <rv s="8">
    <v>pt-BR</v>
    <v>apn5cw</v>
    <v>268435456</v>
    <v>1</v>
    <v>Da plataforma Refinitiv</v>
    <v>14</v>
    <v>15</v>
    <v>MARCOPOLO S.A. (BVMF:POMO4)</v>
    <v>12</v>
    <v>16</v>
    <v>Finance</v>
    <v>5</v>
    <v>9.15</v>
    <v>5.49</v>
    <v>BVMF</v>
    <v>1136271000</v>
    <v>8.09</v>
    <v>1949</v>
    <v>7.9</v>
    <v>0.78510000000000002</v>
    <v>B3 - Brazil Stock Exchange</v>
    <v>8378952000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7.89</v>
    <v>16027</v>
    <v>45838.698159722226</v>
    <v>292</v>
    <v>9552900</v>
    <v>BRL</v>
    <v>MARCOPOLO S.A.</v>
    <v>MARCOPOLO S.A.</v>
    <v>7.91</v>
    <v>7.98</v>
    <v>Avenida Marcopolo,280, Planalto, CAXIAS DO SUL, RIO GRANDE DO SUL, 95.086-200 BR</v>
    <v>Automobiles &amp; Auto Parts</v>
    <v>POMO4</v>
    <v>Ações</v>
    <v>MARCOPOLO S.A. (BVMF:POMO4)</v>
    <v>0.09</v>
    <v>1.1407E-2</v>
    <v>3812400</v>
  </rv>
  <rv s="2">
    <v>293</v>
  </rv>
  <rv s="0">
    <v>https://www.bing.com/financeapi/forcetrigger?t=apnjsm&amp;q=BVMF%3aVALE3&amp;form=skydnc</v>
    <v>Learn more on Bing</v>
  </rv>
  <rv s="8">
    <v>pt-BR</v>
    <v>apnjsm</v>
    <v>268435456</v>
    <v>1</v>
    <v>Da plataforma Refinitiv</v>
    <v>14</v>
    <v>15</v>
    <v>VALE S.A. (BVMF:VALE3)</v>
    <v>12</v>
    <v>16</v>
    <v>Finance</v>
    <v>5</v>
    <v>62.34</v>
    <v>48.77</v>
    <v>BVMF</v>
    <v>4539008000</v>
    <v>53.03</v>
    <v>1943</v>
    <v>52.44</v>
    <v>0.79559999999999997</v>
    <v>B3 - Brazil Stock Exchange</v>
    <v>239795792640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53</v>
    <v>64616</v>
    <v>45838.698182870372</v>
    <v>295</v>
    <v>28291370</v>
    <v>BRL</v>
    <v>VALE S.A.</v>
    <v>VALE S.A.</v>
    <v>52.79</v>
    <v>52.83</v>
    <v>Torre Oscar Niemeyer, Praia de Botafogo n 186 salas 1901 e outras, Botafogo, RIO DE JANEIRO, RIO DE JANEIRO, 34.855-000 BR</v>
    <v>Metals &amp; Mining</v>
    <v>VALE3</v>
    <v>Ações</v>
    <v>VALE S.A. (BVMF:VALE3)</v>
    <v>-0.17</v>
    <v>-3.2079999999999999E-3</v>
    <v>8419200</v>
  </rv>
  <rv s="2">
    <v>296</v>
  </rv>
  <rv s="0">
    <v>https://www.bing.com/financeapi/forcetrigger?t=apn7yc&amp;q=BVMF%3aRADL3&amp;form=skydnc</v>
    <v>Learn more on Bing</v>
  </rv>
  <rv s="8">
    <v>pt-BR</v>
    <v>apn7yc</v>
    <v>268435456</v>
    <v>1</v>
    <v>Da plataforma Refinitiv</v>
    <v>14</v>
    <v>15</v>
    <v>Raia Drogasil S/A (BVMF:RADL3)</v>
    <v>12</v>
    <v>16</v>
    <v>Finance</v>
    <v>5</v>
    <v>29.96</v>
    <v>13.77</v>
    <v>BVMF</v>
    <v>1718007000</v>
    <v>15.3</v>
    <v>1935</v>
    <v>14.94</v>
    <v>0.80489999999999995</v>
    <v>B3 - Brazil Stock Exchange</v>
    <v>25821645210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14.99</v>
    <v>66275</v>
    <v>45838.698136574072</v>
    <v>298</v>
    <v>13709600</v>
    <v>BRL</v>
    <v>Raia Drogasil S/A</v>
    <v>Raia Drogasil S/A</v>
    <v>15.05</v>
    <v>15.03</v>
    <v>Av. Corifeu de Azevedo Marques, 3.097, Butanta, SAO PAULO, SAO PAULO, 05.339-900 BR</v>
    <v>Food &amp; Drug Retailing</v>
    <v>RADL3</v>
    <v>Ações</v>
    <v>Raia Drogasil S/A (BVMF:RADL3)</v>
    <v>0.04</v>
    <v>2.6679999999999998E-3</v>
    <v>3987500</v>
  </rv>
  <rv s="2">
    <v>299</v>
  </rv>
  <rv s="0">
    <v>https://www.bing.com/financeapi/forcetrigger?t=c1s4lh&amp;q=BVMF%3aGGPS3&amp;form=skydnc</v>
    <v>Learn more on Bing</v>
  </rv>
  <rv s="8">
    <v>pt-BR</v>
    <v>c1s4lh</v>
    <v>268435456</v>
    <v>1</v>
    <v>Da plataforma Refinitiv</v>
    <v>14</v>
    <v>15</v>
    <v>GPS PARTICIPAÇÕES E EMPREENDIMENTOS S.A. (BVMF:GGPS3)</v>
    <v>12</v>
    <v>16</v>
    <v>Finance</v>
    <v>5</v>
    <v>19.11</v>
    <v>12.12</v>
    <v>BVMF</v>
    <v>677280700</v>
    <v>15.79</v>
    <v>2007</v>
    <v>15.09</v>
    <v>1.2816000000000001</v>
    <v>B3 - Brazil Stock Exchange</v>
    <v>10680716639</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15.17</v>
    <v>183000</v>
    <v>45838.698159722226</v>
    <v>301</v>
    <v>3046780</v>
    <v>BRL</v>
    <v>GPS PARTICIPAÇÕES E EMPREENDIMENTOS S.A.</v>
    <v>GPS PARTICIPAÇÕES E EMPREENDIMENTOS S.A.</v>
    <v>15.17</v>
    <v>15.77</v>
    <v>Av. Miguel Frias e Vasconcelos, n 1215 2 andar, Jaguare, SAO PAULO, SAO PAULO, 05.345-000 BR</v>
    <v>Professional &amp; Commercial Services</v>
    <v>GGPS3</v>
    <v>Ações</v>
    <v>GPS PARTICIPAÇÕES E EMPREENDIMENTOS S.A. (BVMF:GGPS3)</v>
    <v>0.6</v>
    <v>3.9552000000000004E-2</v>
    <v>1228300</v>
  </rv>
  <rv s="2">
    <v>302</v>
  </rv>
  <rv s="0">
    <v>https://www.bing.com/financeapi/forcetrigger?t=bvoyz2&amp;q=BVMF%3aHBSA3&amp;form=skydnc</v>
    <v>Learn more on Bing</v>
  </rv>
  <rv s="9">
    <v>pt-BR</v>
    <v>bvoyz2</v>
    <v>268435456</v>
    <v>1</v>
    <v>Da plataforma Refinitiv</v>
    <v>17</v>
    <v>18</v>
    <v>Hidrovias do Brasil S.A (BVMF:HBSA3)</v>
    <v>12</v>
    <v>19</v>
    <v>Finance</v>
    <v>5</v>
    <v>3.89</v>
    <v>1.47</v>
    <v>BVMF</v>
    <v>1360383000</v>
    <v>3.71</v>
    <v>2010</v>
    <v>3.59</v>
    <v>1.2266999999999999</v>
    <v>B3 - Brazil Stock Exchange</v>
    <v>4897378800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3.61</v>
    <v>45838.698163645313</v>
    <v>304</v>
    <v>2942250</v>
    <v>BRL</v>
    <v>Hidrovias do Brasil S.A</v>
    <v>Hidrovias do Brasil S.A</v>
    <v>3.62</v>
    <v>3.6</v>
    <v>Rua Gilberto Sabino, 215 - 7 andar, SAO PAULO, SAO PAULO, 05.425-020 BR</v>
    <v>Freight &amp; Logistics Services</v>
    <v>HBSA3</v>
    <v>Ações</v>
    <v>Hidrovias do Brasil S.A (BVMF:HBSA3)</v>
    <v>-0.01</v>
    <v>-2.7700000000000003E-3</v>
    <v>1960700</v>
  </rv>
  <rv s="2">
    <v>305</v>
  </rv>
  <rv s="0">
    <v>https://www.bing.com/financeapi/forcetrigger?t=apm7gh&amp;q=BVMF%3aCCRO3&amp;form=skydnc</v>
    <v>Learn more on Bing</v>
  </rv>
  <rv s="8">
    <v>pt-BR</v>
    <v>apm7gh</v>
    <v>268435456</v>
    <v>1</v>
    <v>Da plataforma Refinitiv</v>
    <v>14</v>
    <v>15</v>
    <v>MOTIVA INFRAESTRUTURA DE MOBILIDADE S.A. (BVMF:MOTV3)</v>
    <v>12</v>
    <v>16</v>
    <v>Finance</v>
    <v>5</v>
    <v>14.1</v>
    <v>9.86</v>
    <v>BVMF</v>
    <v>2020000000</v>
    <v>13.94</v>
    <v>1998</v>
    <v>13.56</v>
    <v>1.0192000000000001</v>
    <v>B3 - Brazil Stock Exchange</v>
    <v>27754800000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13.51</v>
    <v>17124</v>
    <v>45838.698216238285</v>
    <v>307</v>
    <v>6584480</v>
    <v>BRL</v>
    <v>MOTIVA INFRAESTRUTURA DE MOBILIDADE S.A.</v>
    <v>MOTIVA INFRAESTRUTURA DE MOBILIDADE S.A.</v>
    <v>13.65</v>
    <v>13.74</v>
    <v>Av. Dra. Ruth Cardoso, 8.501, 5 andar, Pinheiros, SAO PAULO, SAO PAULO, 05.425-070 BR</v>
    <v>Transport Infrastructure</v>
    <v>MOTV3</v>
    <v>Ações</v>
    <v>MOTIVA INFRAESTRUTURA DE MOBILIDADE S.A. (BVMF:MOTV3)</v>
    <v>0.23</v>
    <v>1.7023999999999997E-2</v>
    <v>2606000</v>
  </rv>
  <rv s="2">
    <v>308</v>
  </rv>
  <rv s="0">
    <v>https://www.bing.com/financeapi/forcetrigger?t=bvu6jc&amp;q=BVMF%3aMELK3&amp;form=skydnc</v>
    <v>Learn more on Bing</v>
  </rv>
  <rv s="8">
    <v>pt-BR</v>
    <v>bvu6jc</v>
    <v>268435456</v>
    <v>1</v>
    <v>Da plataforma Refinitiv</v>
    <v>14</v>
    <v>15</v>
    <v>Melnick Desenvolvimento Imobiliário S.A. (BVMF:MELK3)</v>
    <v>12</v>
    <v>16</v>
    <v>Finance</v>
    <v>5</v>
    <v>3.43</v>
    <v>2.38</v>
    <v>BVMF</v>
    <v>206269300</v>
    <v>3.3</v>
    <v>2010</v>
    <v>3.22</v>
    <v>0.95509999999999995</v>
    <v>B3 - Brazil Stock Exchange</v>
    <v>674500611</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3.27</v>
    <v>458</v>
    <v>45838.697500000002</v>
    <v>310</v>
    <v>501200</v>
    <v>BRL</v>
    <v>Melnick Desenvolvimento Imobiliário S.A.</v>
    <v>Melnick Desenvolvimento Imobiliário S.A.</v>
    <v>3.3</v>
    <v>3.27</v>
    <v>Rua Carlos Trein Filho, n 551, N/A, Auxiliadora, Porto Alegre, RIO GRANDE DO SUL, 90.450-120 BR</v>
    <v>Homebuilding &amp; Construction Supplies</v>
    <v>MELK3</v>
    <v>Ações</v>
    <v>Melnick Desenvolvimento Imobiliário S.A. (BVMF:MELK3)</v>
    <v>0</v>
    <v>0</v>
    <v>226100</v>
  </rv>
  <rv s="2">
    <v>311</v>
  </rv>
  <rv s="0">
    <v>https://www.bing.com/financeapi/forcetrigger?t=apmb27&amp;q=BVMF%3aCPFE3&amp;form=skydnc</v>
    <v>Learn more on Bing</v>
  </rv>
  <rv s="8">
    <v>pt-BR</v>
    <v>apmb27</v>
    <v>268435456</v>
    <v>1</v>
    <v>Da plataforma Refinitiv</v>
    <v>14</v>
    <v>15</v>
    <v>CPFL ENERGIA S.A. (BVMF:CPFE3)</v>
    <v>12</v>
    <v>16</v>
    <v>Finance</v>
    <v>5</v>
    <v>41.48</v>
    <v>28.7</v>
    <v>BVMF</v>
    <v>1152254000</v>
    <v>41.07</v>
    <v>1998</v>
    <v>40.06</v>
    <v>0.66749999999999998</v>
    <v>B3 - Brazil Stock Exchange</v>
    <v>46885215260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40.33</v>
    <v>6432</v>
    <v>45838.698078703703</v>
    <v>313</v>
    <v>1163620</v>
    <v>BRL</v>
    <v>CPFL ENERGIA S.A.</v>
    <v>CPFL ENERGIA S.A.</v>
    <v>40.26</v>
    <v>40.69</v>
    <v>Rua Jorge de Figueiredo Correa,1632, parte, Jd Prof. Tarcilia, CAMPINAS, SAO PAULO, 13.087-397 BR</v>
    <v>Electrical Utilities &amp; IPPs</v>
    <v>CPFE3</v>
    <v>Ações</v>
    <v>CPFL ENERGIA S.A. (BVMF:CPFE3)</v>
    <v>0.36</v>
    <v>8.9259999999999999E-3</v>
    <v>481700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16</v>
    <v>Finance</v>
    <v>5</v>
    <v>120.84</v>
    <v>71.34</v>
    <v>BVMF</v>
    <v>683509900</v>
    <v>118.48</v>
    <v>1973</v>
    <v>114.27</v>
    <v>0.85599999999999998</v>
    <v>B3 - Brazil Stock Exchange</v>
    <v>80948077457</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115.05</v>
    <v>9700</v>
    <v>45838.698101851849</v>
    <v>316</v>
    <v>2494090</v>
    <v>BRL</v>
    <v>Companhia de Saneamento Básico do Estado de São Paulo - SABESP</v>
    <v>Companhia de Saneamento Básico do Estado de São Paulo - SABESP</v>
    <v>114.51</v>
    <v>118.43</v>
    <v>Rua Costa Carvalho, n 300 Diretoria F, Pinheiros, SAO PAULO, SAO PAULO, 05.429-900 BR</v>
    <v>Water Utilities</v>
    <v>SBSP3</v>
    <v>Ações</v>
    <v>Companhia de Saneamento Básico do Estado de São Paulo - SABESP (BVMF:SBSP3)</v>
    <v>3.38</v>
    <v>2.9378999999999999E-2</v>
    <v>1521300</v>
  </rv>
  <rv s="2">
    <v>317</v>
  </rv>
  <rv s="0">
    <v>https://www.bing.com/financeapi/forcetrigger?t=c1s4zr&amp;q=BVMF%3aSOJA3&amp;form=skydnc</v>
    <v>Learn more on Bing</v>
  </rv>
  <rv s="9">
    <v>pt-BR</v>
    <v>c1s4zr</v>
    <v>268435456</v>
    <v>1</v>
    <v>Da plataforma Refinitiv</v>
    <v>17</v>
    <v>18</v>
    <v>Boa Safra Sementes S.A. (BVMF:SOJA3)</v>
    <v>12</v>
    <v>19</v>
    <v>Finance</v>
    <v>5</v>
    <v>15.42</v>
    <v>9.5500000000000007</v>
    <v>BVMF</v>
    <v>135322100</v>
    <v>11.5</v>
    <v>2009</v>
    <v>11.3</v>
    <v>0.62490000000000001</v>
    <v>B3 - Brazil Stock Exchange</v>
    <v>1545379000</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11.42</v>
    <v>45838.697268518517</v>
    <v>319</v>
    <v>401310</v>
    <v>BRL</v>
    <v>Boa Safra Sementes S.A.</v>
    <v>Boa Safra Sementes S.A.</v>
    <v>11.44</v>
    <v>11.41</v>
    <v>Avenida Circular 209, Setor Industrial, Formosa, GOIAS, 73.813-014 BR</v>
    <v>Food &amp; Tobacco</v>
    <v>SOJA3</v>
    <v>Ações</v>
    <v>Boa Safra Sementes S.A. (BVMF:SOJA3)</v>
    <v>-0.01</v>
    <v>-8.7569999999999998E-4</v>
    <v>113300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4.79</v>
    <v>1964</v>
    <v>4.74</v>
    <v>0.40039999999999998</v>
    <v>B3 - Brazil Stock Exchange</v>
    <v>296292800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4.7300000000000004</v>
    <v>1745</v>
    <v>45838.696395543753</v>
    <v>322</v>
    <v>16870</v>
    <v>BRL</v>
    <v>Pettenati S.A. Indústria Têxtil</v>
    <v>Pettenati S.A. Indústria Têxtil</v>
    <v>4.78</v>
    <v>4.75</v>
    <v>Rod Rsc 453, S/N,Km 2,4, Distrito Industrial, CAXIAS DO SUL, RIO GRANDE DO SUL, 95.010-550 BR</v>
    <v>Textiles &amp; Apparel</v>
    <v>PTNT4</v>
    <v>Ações</v>
    <v>Pettenati S.A. Indústria Têxtil (BVMF:PTNT4)</v>
    <v>0.02</v>
    <v>4.228E-3</v>
    <v>2600</v>
  </rv>
  <rv s="2">
    <v>323</v>
  </rv>
  <rv s="0">
    <v>https://www.bing.com/financeapi/forcetrigger?t=c2ttqh&amp;q=BVMF%3aDESK3&amp;form=skydnc</v>
    <v>Learn more on Bing</v>
  </rv>
  <rv s="9">
    <v>pt-BR</v>
    <v>c2ttqh</v>
    <v>268435456</v>
    <v>1</v>
    <v>Da plataforma Refinitiv</v>
    <v>17</v>
    <v>18</v>
    <v>DESKTOP S.A. (BVMF:DESK3)</v>
    <v>12</v>
    <v>19</v>
    <v>Finance</v>
    <v>5</v>
    <v>17.440000000000001</v>
    <v>7.8</v>
    <v>BVMF</v>
    <v>115878000</v>
    <v>9.68</v>
    <v>2006</v>
    <v>9.43</v>
    <v>1.2226999999999999</v>
    <v>B3 - Brazil Stock Exchange</v>
    <v>1112428800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9.4600000000000009</v>
    <v>45838.698142233596</v>
    <v>325</v>
    <v>129960</v>
    <v>BRL</v>
    <v>DESKTOP S.A.</v>
    <v>DESKTOP S.A.</v>
    <v>9.4600000000000009</v>
    <v>9.6</v>
    <v>Estrada Municipal Teodor Condiev, 970 13o andar, Jardim Marchissolo, Sumare, SAO PAULO, 13.171-105 BR</v>
    <v>Telecommunications Services</v>
    <v>DESK3</v>
    <v>Ações</v>
    <v>DESKTOP S.A. (BVMF:DESK3)</v>
    <v>0.14000000000000001</v>
    <v>1.4799E-2</v>
    <v>27600</v>
  </rv>
  <rv s="2">
    <v>326</v>
  </rv>
  <rv s="0">
    <v>https://www.bing.com/financeapi/forcetrigger?t=ayuegh&amp;q=BVMF%3aIGTI3&amp;form=skydnc</v>
    <v>Learn more on Bing</v>
  </rv>
  <rv s="8">
    <v>pt-BR</v>
    <v>ayuegh</v>
    <v>268435456</v>
    <v>1</v>
    <v>Da plataforma Refinitiv</v>
    <v>14</v>
    <v>15</v>
    <v>Iguatemi S.A. (BVMF:IGTI3)</v>
    <v>12</v>
    <v>16</v>
    <v>Finance</v>
    <v>5</v>
    <v>2.89</v>
    <v>1.93</v>
    <v>BVMF</v>
    <v>1206361000</v>
    <v>2.86</v>
    <v>1946</v>
    <v>2.72</v>
    <v>1.0186999999999999</v>
    <v>B3 - Brazil Stock Exchange</v>
    <v>6489336000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2.77</v>
    <v>636</v>
    <v>45838.697314814817</v>
    <v>328</v>
    <v>51640</v>
    <v>BRL</v>
    <v>Iguatemi S.A.</v>
    <v>Iguatemi S.A.</v>
    <v>2.77</v>
    <v>2.72</v>
    <v>Rua Angelina Maffei Vita 200 9 andar, Jardim Paulistano, SAO PAULO, SAO PAULO, 01.455-070 BR</v>
    <v>Real Estate Operations</v>
    <v>IGTI3</v>
    <v>Ações</v>
    <v>Iguatemi S.A. (BVMF:IGTI3)</v>
    <v>-0.05</v>
    <v>-1.8050999999999998E-2</v>
    <v>9200</v>
  </rv>
  <rv s="2">
    <v>329</v>
  </rv>
  <rv s="0">
    <v>https://www.bing.com/financeapi/forcetrigger?t=apmtnm&amp;q=BVMF%3aKEPL3&amp;form=skydnc</v>
    <v>Learn more on Bing</v>
  </rv>
  <rv s="8">
    <v>pt-BR</v>
    <v>apmtnm</v>
    <v>268435456</v>
    <v>1</v>
    <v>Da plataforma Refinitiv</v>
    <v>14</v>
    <v>15</v>
    <v>Kepler Weber S.A. (BVMF:KEPL3)</v>
    <v>12</v>
    <v>16</v>
    <v>Finance</v>
    <v>5</v>
    <v>10.92</v>
    <v>6.87</v>
    <v>BVMF</v>
    <v>179720100</v>
    <v>8.2200000000000006</v>
    <v>1936</v>
    <v>8.06</v>
    <v>0.94169999999999998</v>
    <v>B3 - Brazil Stock Exchange</v>
    <v>1453935609</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8.1</v>
    <v>1925</v>
    <v>45838.698159722226</v>
    <v>331</v>
    <v>928190</v>
    <v>BRL</v>
    <v>Kepler Weber S.A.</v>
    <v>Kepler Weber S.A.</v>
    <v>8.1</v>
    <v>8.09</v>
    <v>Rua do Rocio n 84, 3 andar, Vila Olimpia, SAO PAULO, SAO PAULO, 04.552-000 BR</v>
    <v>Machinery, Equipment &amp; Components</v>
    <v>KEPL3</v>
    <v>Ações</v>
    <v>Kepler Weber S.A. (BVMF:KEPL3)</v>
    <v>-0.01</v>
    <v>-1.235E-3</v>
    <v>538000</v>
  </rv>
  <rv s="2">
    <v>332</v>
  </rv>
  <rv s="0">
    <v>https://www.bing.com/financeapi/forcetrigger?t=apmvxm&amp;q=BVMF%3aLREN3&amp;form=skydnc</v>
    <v>Learn more on Bing</v>
  </rv>
  <rv s="8">
    <v>pt-BR</v>
    <v>apmvxm</v>
    <v>268435456</v>
    <v>1</v>
    <v>Da plataforma Refinitiv</v>
    <v>14</v>
    <v>15</v>
    <v>Lojas Renner S.A. (BVMF:LREN3)</v>
    <v>12</v>
    <v>16</v>
    <v>Finance</v>
    <v>5</v>
    <v>19.8</v>
    <v>10.59</v>
    <v>BVMF</v>
    <v>1059550000</v>
    <v>19.649999999999999</v>
    <v>1965</v>
    <v>19.38</v>
    <v>1.6640999999999999</v>
    <v>B3 - Brazil Stock Exchange</v>
    <v>20724790000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19.559999999999999</v>
    <v>25102</v>
    <v>45838.698128853903</v>
    <v>334</v>
    <v>10734060</v>
    <v>BRL</v>
    <v>Lojas Renner S.A.</v>
    <v>Lojas Renner S.A.</v>
    <v>19.52</v>
    <v>19.47</v>
    <v>Av. Joaquim Porto Villanova, 401,7 andar, Jardim do Salso, PORTO ALEGRE, RIO GRANDE DO SUL, 91.410-400 BR</v>
    <v>Specialty Retailers</v>
    <v>LREN3</v>
    <v>Ações</v>
    <v>Lojas Renner S.A. (BVMF:LREN3)</v>
    <v>-0.09</v>
    <v>-4.6010000000000001E-3</v>
    <v>3202900</v>
  </rv>
  <rv s="2">
    <v>335</v>
  </rv>
  <rv s="0">
    <v>https://www.bing.com/financeapi/forcetrigger?t=apmyyc&amp;q=BVMF%3aMRFG3&amp;form=skydnc</v>
    <v>Learn more on Bing</v>
  </rv>
  <rv s="8">
    <v>pt-BR</v>
    <v>apmyyc</v>
    <v>268435456</v>
    <v>1</v>
    <v>Da plataforma Refinitiv</v>
    <v>14</v>
    <v>15</v>
    <v>Marfrig Global Foods S.A. (BVMF:MRFG3)</v>
    <v>12</v>
    <v>16</v>
    <v>Finance</v>
    <v>5</v>
    <v>26.03</v>
    <v>9.1999999999999993</v>
    <v>BVMF</v>
    <v>857928100</v>
    <v>22.52</v>
    <v>2000</v>
    <v>22.18</v>
    <v>0.94530000000000003</v>
    <v>B3 - Brazil Stock Exchange</v>
    <v>19148955192</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22.5</v>
    <v>126832</v>
    <v>45838.698206018518</v>
    <v>337</v>
    <v>7116410</v>
    <v>BRL</v>
    <v>Marfrig Global Foods S.A.</v>
    <v>Marfrig Global Foods S.A.</v>
    <v>22.34</v>
    <v>22.32</v>
    <v>Avenida Chedid Jafet, No 222, Block A, 1St Floor, SAO PAULO, SAO PAULO, 04.551-065 BR</v>
    <v>Food &amp; Tobacco</v>
    <v>MRFG3</v>
    <v>Ações</v>
    <v>Marfrig Global Foods S.A. (BVMF:MRFG3)</v>
    <v>-0.18</v>
    <v>-8.0000000000000002E-3</v>
    <v>1400700</v>
  </rv>
  <rv s="2">
    <v>338</v>
  </rv>
  <rv s="0">
    <v>https://www.bing.com/financeapi/forcetrigger?t=apmsu2&amp;q=BVMF%3aJFEN3&amp;form=skydnc</v>
    <v>Learn more on Bing</v>
  </rv>
  <rv s="8">
    <v>pt-BR</v>
    <v>apmsu2</v>
    <v>268435456</v>
    <v>1</v>
    <v>Da plataforma Refinitiv</v>
    <v>14</v>
    <v>15</v>
    <v>JOAO FORTES ENGENHARIA S.A. (BVMF:JFEN3)</v>
    <v>12</v>
    <v>16</v>
    <v>Finance</v>
    <v>5</v>
    <v>10.4</v>
    <v>1.84</v>
    <v>BVMF</v>
    <v>12318720</v>
    <v>1.9</v>
    <v>1940</v>
    <v>1.84</v>
    <v>1.4148000000000001</v>
    <v>B3 - Brazil Stock Exchange</v>
    <v>23405568</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1.85</v>
    <v>579</v>
    <v>45838.659872685188</v>
    <v>340</v>
    <v>6100</v>
    <v>BRL</v>
    <v>JOAO FORTES ENGENHARIA S.A.</v>
    <v>JOAO FORTES ENGENHARIA S.A.</v>
    <v>1.84</v>
    <v>1.9</v>
    <v>Av. das Americas, 3443, Sala 108, Bloco 3, Ala B, Barra da Tijuca, RIO DE JANEIRO, RIO DE JANEIRO, 22.631-003 BR</v>
    <v>Real Estate Operations</v>
    <v>JFEN3</v>
    <v>Ações</v>
    <v>JOAO FORTES ENGENHARIA S.A. (BVMF:JFEN3)</v>
    <v>0.05</v>
    <v>2.7027000000000002E-2</v>
    <v>300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8.11</v>
    <v>4</v>
    <v>BVMF</v>
    <v>1253079000</v>
    <v>4.22</v>
    <v>1954</v>
    <v>4.1100000000000003</v>
    <v>0.92610000000000003</v>
    <v>B3 - Brazil Stock Exchange</v>
    <v>5235796000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4.2</v>
    <v>51182</v>
    <v>45838.697974537034</v>
    <v>343</v>
    <v>22426060</v>
    <v>BRL</v>
    <v>Usinas Siderúrgicas de Minas Gerais S/A - USIMINAS</v>
    <v>Usinas Siderúrgicas de Minas Gerais S/A - USIMINAS</v>
    <v>4.22</v>
    <v>4.13</v>
    <v>Avenida do Contorno, 6.594, Savassi, BELO HORIZONTE, MINAS GERAIS, 30.110-044 BR</v>
    <v>Metals &amp; Mining</v>
    <v>USIM3</v>
    <v>Ações</v>
    <v>Usinas Siderúrgicas de Minas Gerais S/A - USIMINAS (BVMF:USIM3)</v>
    <v>-7.0000000000000007E-2</v>
    <v>-1.6667000000000001E-2</v>
    <v>517600</v>
  </rv>
  <rv s="2">
    <v>344</v>
  </rv>
  <rv s="0">
    <v>https://www.bing.com/financeapi/forcetrigger?t=bvm1h7&amp;q=BVMF%3aCURY3&amp;form=skydnc</v>
    <v>Learn more on Bing</v>
  </rv>
  <rv s="9">
    <v>pt-BR</v>
    <v>bvm1h7</v>
    <v>268435456</v>
    <v>1</v>
    <v>Da plataforma Refinitiv</v>
    <v>17</v>
    <v>18</v>
    <v>CURY CONSTRUTORA E INCORPORADORA S.A. (BVMF:CURY3)</v>
    <v>12</v>
    <v>19</v>
    <v>Finance</v>
    <v>5</v>
    <v>31.31</v>
    <v>16.3</v>
    <v>BVMF</v>
    <v>291875100</v>
    <v>29.69</v>
    <v>2007</v>
    <v>28.88</v>
    <v>1.0418000000000001</v>
    <v>B3 - Brazil Stock Exchange</v>
    <v>8630746707</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29.2</v>
    <v>45838.698205878907</v>
    <v>346</v>
    <v>1982120</v>
    <v>BRL</v>
    <v>CURY CONSTRUTORA E INCORPORADORA S.A.</v>
    <v>CURY CONSTRUTORA E INCORPORADORA S.A.</v>
    <v>29.2</v>
    <v>29.57</v>
    <v>Rua Funchal, n 411, 13 andar Conjunto 132-D, Vila Olimpia, Sao Paulo, SAO PAULO, 04.551-060 BR</v>
    <v>Homebuilding &amp; Construction Supplies</v>
    <v>CURY3</v>
    <v>Ações</v>
    <v>CURY CONSTRUTORA E INCORPORADORA S.A. (BVMF:CURY3)</v>
    <v>0.37</v>
    <v>1.2670999999999998E-2</v>
    <v>1014000</v>
  </rv>
  <rv s="2">
    <v>347</v>
  </rv>
  <rv s="0">
    <v>https://www.bing.com/financeapi/forcetrigger?t=apniqh&amp;q=BVMF%3aUGPA3&amp;form=skydnc</v>
    <v>Learn more on Bing</v>
  </rv>
  <rv s="8">
    <v>pt-BR</v>
    <v>apniqh</v>
    <v>268435456</v>
    <v>1</v>
    <v>Da plataforma Refinitiv</v>
    <v>14</v>
    <v>15</v>
    <v>ULTRAPAR PARTICIPAÇÕES S.A. (BVMF:UGPA3)</v>
    <v>12</v>
    <v>16</v>
    <v>Finance</v>
    <v>5</v>
    <v>23.74</v>
    <v>14.76</v>
    <v>BVMF</v>
    <v>1115404000</v>
    <v>17.649999999999999</v>
    <v>1953</v>
    <v>16.88</v>
    <v>1.1186</v>
    <v>B3 - Brazil Stock Exchange</v>
    <v>18805720000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16.86</v>
    <v>9558</v>
    <v>45838.698252314818</v>
    <v>349</v>
    <v>4971900</v>
    <v>BRL</v>
    <v>ULTRAPAR PARTICIPAÇÕES S.A.</v>
    <v>ULTRAPAR PARTICIPAÇÕES S.A.</v>
    <v>16.98</v>
    <v>17.559999999999999</v>
    <v>Avenida Brigadeiro Luis Antonio, 1.343, 8 andar, Bela Vista, SAO PAULO, SAO PAULO, 01.317-910 BR</v>
    <v>Oil &amp; Gas</v>
    <v>UGPA3</v>
    <v>Ações</v>
    <v>ULTRAPAR PARTICIPAÇÕES S.A. (BVMF:UGPA3)</v>
    <v>0.7</v>
    <v>4.1517999999999999E-2</v>
    <v>2261900</v>
  </rv>
  <rv s="2">
    <v>350</v>
  </rv>
  <rv s="0">
    <v>https://www.bing.com/financeapi/forcetrigger?t=apmfur&amp;q=BVMF%3aDXCO3&amp;form=skydnc</v>
    <v>Learn more on Bing</v>
  </rv>
  <rv s="8">
    <v>pt-BR</v>
    <v>apmfur</v>
    <v>268435456</v>
    <v>1</v>
    <v>Da plataforma Refinitiv</v>
    <v>14</v>
    <v>15</v>
    <v>DEXCO S.A. (BVMF:DXCO3)</v>
    <v>12</v>
    <v>16</v>
    <v>Finance</v>
    <v>5</v>
    <v>8.8800000000000008</v>
    <v>5</v>
    <v>BVMF</v>
    <v>820566200</v>
    <v>5.72</v>
    <v>1962</v>
    <v>5.59</v>
    <v>0.83079999999999998</v>
    <v>B3 - Brazil Stock Exchange</v>
    <v>4652610354</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5.68</v>
    <v>13344</v>
    <v>45838.698199501559</v>
    <v>352</v>
    <v>2506660</v>
    <v>BRL</v>
    <v>DEXCO S.A.</v>
    <v>DEXCO S.A.</v>
    <v>5.68</v>
    <v>5.67</v>
    <v>Avenida Paulista 1938 - 5 andar, Bela Vista, SAO PAULO, SAO PAULO, 01.310-942 BR</v>
    <v>Paper &amp; Forest Products</v>
    <v>DXCO3</v>
    <v>Ações</v>
    <v>DEXCO S.A. (BVMF:DXCO3)</v>
    <v>-0.01</v>
    <v>-1.761E-3</v>
    <v>538400</v>
  </rv>
  <rv s="2">
    <v>353</v>
  </rv>
  <rv s="0">
    <v>https://www.bing.com/financeapi/forcetrigger?t=apnfpr&amp;q=BVMF%3aTEND3&amp;form=skydnc</v>
    <v>Learn more on Bing</v>
  </rv>
  <rv s="8">
    <v>pt-BR</v>
    <v>apnfpr</v>
    <v>268435456</v>
    <v>1</v>
    <v>Da plataforma Refinitiv</v>
    <v>14</v>
    <v>15</v>
    <v>CONSTRUTORA TENDA S/A (BVMF:TEND3)</v>
    <v>12</v>
    <v>16</v>
    <v>Finance</v>
    <v>5</v>
    <v>25.26</v>
    <v>10.33</v>
    <v>BVMF</v>
    <v>122578100</v>
    <v>24.46</v>
    <v>1993</v>
    <v>23.77</v>
    <v>1.4618</v>
    <v>B3 - Brazil Stock Exchange</v>
    <v>2997036000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24.45</v>
    <v>6287</v>
    <v>45838.698148148149</v>
    <v>355</v>
    <v>1310960</v>
    <v>BRL</v>
    <v>CONSTRUTORA TENDA S/A</v>
    <v>CONSTRUTORA TENDA S/A</v>
    <v>24.46</v>
    <v>24.12</v>
    <v>Rua Boa Vista, n 280 pavimentos 8 e 9, Centro, SAO PAULO, SAO PAULO, 01.014-908 BR</v>
    <v>Real Estate Operations</v>
    <v>TEND3</v>
    <v>Ações</v>
    <v>CONSTRUTORA TENDA S/A (BVMF:TEND3)</v>
    <v>-0.33</v>
    <v>-1.3496999999999999E-2</v>
    <v>536900</v>
  </rv>
  <rv s="2">
    <v>356</v>
  </rv>
  <rv s="0">
    <v>https://creativecommons.org/licenses/by-sa/3.0</v>
    <v>CC BY-SA 3.0</v>
  </rv>
  <rv s="0">
    <v>http://en.wikipedia.org/wiki/Eletrobras</v>
    <v>Wikipedia</v>
  </rv>
  <rv s="10">
    <v>358</v>
    <v>359</v>
  </rv>
  <rv s="11">
    <v>25</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20</v>
    <v>21</v>
    <v>CENTRAIS ELETRICAS BRASILEIRAS SA ELETROBRAS (BVMF:ELET3)</v>
    <v>23</v>
    <v>24</v>
    <v>Finance</v>
    <v>5</v>
    <v>44.49</v>
    <v>31.93</v>
    <v>BVMF</v>
    <v>2307100000</v>
    <v>40.270000000000003</v>
    <v>1962</v>
    <v>39.450000000000003</v>
    <v>0.88619999999999999</v>
    <v>B3 - Brazil Stock Exchange</v>
    <v>92771100000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39.700000000000003</v>
    <v>7710</v>
    <v>45838.698105138283</v>
    <v>361</v>
    <v>362</v>
    <v>1142340</v>
    <v>BRL</v>
    <v>CENTRAIS ELETRICAS BRASILEIRAS SA ELETROBRAS</v>
    <v>CENTRAIS ELETRICAS BRASILEIRAS SA ELETROBRAS</v>
    <v>39.549999999999997</v>
    <v>40.1</v>
    <v>Rua da Quitanda, 196, Lj A, Centro, RIO DE JANEIRO, RIO DE JANEIRO, 20.091-005 BR</v>
    <v>Electrical Utilities &amp; IPPs</v>
    <v>ELET3</v>
    <v>Ações</v>
    <v>CENTRAIS ELETRICAS BRASILEIRAS SA ELETROBRAS (BVMF:ELET3)</v>
    <v>0.4</v>
    <v>1.0076E-2</v>
    <v>1697000</v>
  </rv>
  <rv s="2">
    <v>363</v>
  </rv>
  <rv s="0">
    <v>https://www.bing.com/financeapi/forcetrigger?t=apnlu2&amp;q=BVMF%3aWIZS3&amp;form=skydnc</v>
    <v>Learn more on Bing</v>
  </rv>
  <rv s="8">
    <v>pt-BR</v>
    <v>apnlu2</v>
    <v>268435456</v>
    <v>1</v>
    <v>Da plataforma Refinitiv</v>
    <v>14</v>
    <v>15</v>
    <v>Wiz Co Participações e Corretagem de Seguros S.A. (BVMF:WIZC3)</v>
    <v>12</v>
    <v>16</v>
    <v>Finance</v>
    <v>5</v>
    <v>8.11</v>
    <v>4.9000000000000004</v>
    <v>BVMF</v>
    <v>159907300</v>
    <v>7.8</v>
    <v>1973</v>
    <v>7.65</v>
    <v>1.056</v>
    <v>B3 - Brazil Stock Exchange</v>
    <v>1240880648</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7.72</v>
    <v>1635</v>
    <v>45838.69803240741</v>
    <v>365</v>
    <v>489700</v>
    <v>BRL</v>
    <v>Wiz Co Participações e Corretagem de Seguros S.A.</v>
    <v>Wiz Co Participações e Corretagem de Seguros S.A.</v>
    <v>7.7</v>
    <v>7.76</v>
    <v>Setor Comercial Norte, Quadra 02, Bloco D, Ed. Liberty Mall, Entrada B, Sala 1301, Asa Norte, BRASILIA, DISTRITO FEDERAL, 70.712-903 BR</v>
    <v>Insurance</v>
    <v>WIZC3</v>
    <v>Ações</v>
    <v>Wiz Co Participações e Corretagem de Seguros S.A. (BVMF:WIZC3)</v>
    <v>0.04</v>
    <v>5.1809999999999998E-3</v>
    <v>128800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7.65</v>
    <v>5.01</v>
    <v>BVMF</v>
    <v>1511206000</v>
    <v>7.65</v>
    <v>1963</v>
    <v>7.37</v>
    <v>0.57330000000000003</v>
    <v>B3 - Brazil Stock Exchange</v>
    <v>11434790000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7.5</v>
    <v>6047</v>
    <v>45838.698217592595</v>
    <v>368</v>
    <v>1569060</v>
    <v>BRL</v>
    <v>Companhia de Saneamento do Paraná - Sanepar</v>
    <v>Companhia de Saneamento do Paraná - Sanepar</v>
    <v>7.51</v>
    <v>7.52</v>
    <v>Rua Engenheiros Reboucas, 1376, Reboucas, CURITIBA, PARANA, 80.215-900 BR</v>
    <v>Water Utilities</v>
    <v>SAPR4</v>
    <v>Ações</v>
    <v>Companhia de Saneamento do Paraná - Sanepar (BVMF:SAPR4)</v>
    <v>0.02</v>
    <v>2.6670000000000001E-3</v>
    <v>1578500</v>
  </rv>
  <rv s="2">
    <v>369</v>
  </rv>
  <rv s="0">
    <v>https://www.bing.com/financeapi/forcetrigger?t=apn1fr&amp;q=BVMF%3aNTCO3&amp;form=skydnc</v>
    <v>Learn more on Bing</v>
  </rv>
  <rv s="8">
    <v>pt-BR</v>
    <v>apn1fr</v>
    <v>268435456</v>
    <v>1</v>
    <v>Da plataforma Refinitiv</v>
    <v>14</v>
    <v>15</v>
    <v>NATURA &amp;CO HOLDING S.A. (BVMF:NTCO3)</v>
    <v>12</v>
    <v>16</v>
    <v>Finance</v>
    <v>5</v>
    <v>16.940000000000001</v>
    <v>8.93</v>
    <v>BVMF</v>
    <v>1374118000</v>
    <v>11.15</v>
    <v>2019</v>
    <v>10.82</v>
    <v>1.1861999999999999</v>
    <v>B3 - Brazil Stock Exchange</v>
    <v>15197745080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10.87</v>
    <v>1709</v>
    <v>45838.698229166665</v>
    <v>371</v>
    <v>6606120</v>
    <v>BRL</v>
    <v>NATURA &amp;CO HOLDING S.A.</v>
    <v>NATURA &amp;CO HOLDING S.A.</v>
    <v>10.9</v>
    <v>11.06</v>
    <v>Av Alexandre Colares 1188 Sala A17 Bloco A, Parque Anhanguera, SAO PAULO, SAO PAULO, 05.106-000 BR</v>
    <v>Personal &amp; Household Products &amp; Services</v>
    <v>NTCO3</v>
    <v>Ações</v>
    <v>NATURA &amp;CO HOLDING S.A. (BVMF:NTCO3)</v>
    <v>0.19</v>
    <v>1.7479000000000001E-2</v>
    <v>2701700</v>
  </rv>
  <rv s="2">
    <v>372</v>
  </rv>
  <rv s="0">
    <v>https://www.bing.com/financeapi/forcetrigger?t=apmjar&amp;q=BVMF%3aEVEN3&amp;form=skydnc</v>
    <v>Learn more on Bing</v>
  </rv>
  <rv s="9">
    <v>pt-BR</v>
    <v>apmjar</v>
    <v>268435456</v>
    <v>1</v>
    <v>Da plataforma Refinitiv</v>
    <v>17</v>
    <v>18</v>
    <v>EVEN CONSTRUTORA E INCORPORADORA S.A. (BVMF:EVEN3)</v>
    <v>12</v>
    <v>19</v>
    <v>Finance</v>
    <v>5</v>
    <v>7.68</v>
    <v>5.26</v>
    <v>BVMF</v>
    <v>200000000</v>
    <v>7.46</v>
    <v>1980</v>
    <v>7.29</v>
    <v>1.5604</v>
    <v>B3 - Brazil Stock Exchange</v>
    <v>1480000000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7.34</v>
    <v>45838.697919698439</v>
    <v>374</v>
    <v>354370</v>
    <v>BRL</v>
    <v>EVEN CONSTRUTORA E INCORPORADORA S.A.</v>
    <v>EVEN CONSTRUTORA E INCORPORADORA S.A.</v>
    <v>7.29</v>
    <v>7.4</v>
    <v>Rua Hungria,1400, 2 andar, Jardim America, SAO PAULO, SAO PAULO, 01.455-000 BR</v>
    <v>Real Estate Operations</v>
    <v>EVEN3</v>
    <v>Ações</v>
    <v>EVEN CONSTRUTORA E INCORPORADORA S.A. (BVMF:EVEN3)</v>
    <v>0.06</v>
    <v>8.1740000000000007E-3</v>
    <v>174600</v>
  </rv>
  <rv s="2">
    <v>375</v>
  </rv>
  <rv s="0">
    <v>https://www.bing.com/financeapi/forcetrigger?t=apmsa2&amp;q=BVMF%3aITUB3&amp;form=skydnc</v>
    <v>Learn more on Bing</v>
  </rv>
  <rv s="8">
    <v>pt-BR</v>
    <v>apmsa2</v>
    <v>268435456</v>
    <v>1</v>
    <v>Da plataforma Refinitiv</v>
    <v>14</v>
    <v>15</v>
    <v>Itaú Unibanco Holding S.A. (BVMF:ITUB3)</v>
    <v>12</v>
    <v>16</v>
    <v>Finance</v>
    <v>5</v>
    <v>33.97</v>
    <v>22.43</v>
    <v>BVMF</v>
    <v>10784550000</v>
    <v>32.799999999999997</v>
    <v>1943</v>
    <v>32.1</v>
    <v>1.2446999999999999</v>
    <v>B3 - Brazil Stock Exchange</v>
    <v>369284600000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32.26</v>
    <v>100600</v>
    <v>45838.698113425926</v>
    <v>377</v>
    <v>18297220</v>
    <v>BRL</v>
    <v>Itaú Unibanco Holding S.A.</v>
    <v>Itaú Unibanco Holding S.A.</v>
    <v>32.26</v>
    <v>32.67</v>
    <v>Praca Alfredo Egydio de Souza Aranha, 100, T. Olavo Setubal, Piso Itau Unibanco, Parque Jabaquara, SAO PAULO, SAO PAULO, 04.344-902 BR</v>
    <v>Banking Services</v>
    <v>ITUB3</v>
    <v>Ações</v>
    <v>Itaú Unibanco Holding S.A. (BVMF:ITUB3)</v>
    <v>0.41</v>
    <v>1.2709E-2</v>
    <v>289500</v>
  </rv>
  <rv s="2">
    <v>378</v>
  </rv>
  <rv s="0">
    <v>https://www.bing.com/financeapi/forcetrigger?t=apninm&amp;q=BVMF%3aUCAS3&amp;form=skydnc</v>
    <v>Learn more on Bing</v>
  </rv>
  <rv s="8">
    <v>pt-BR</v>
    <v>apninm</v>
    <v>268435456</v>
    <v>1</v>
    <v>Da plataforma Refinitiv</v>
    <v>14</v>
    <v>15</v>
    <v>Unicasa Indústria de Móveis S/A (BVMF:UCAS3)</v>
    <v>12</v>
    <v>16</v>
    <v>Finance</v>
    <v>5</v>
    <v>2.25</v>
    <v>1.39</v>
    <v>BVMF</v>
    <v>66086360</v>
    <v>1.44</v>
    <v>1985</v>
    <v>1.41</v>
    <v>0.54649999999999999</v>
    <v>B3 - Brazil Stock Exchange</v>
    <v>94503494</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1.42</v>
    <v>516</v>
    <v>45838.695134409376</v>
    <v>380</v>
    <v>27770</v>
    <v>BRL</v>
    <v>Unicasa Indústria de Móveis S/A</v>
    <v>Unicasa Indústria de Móveis S/A</v>
    <v>1.42</v>
    <v>1.43</v>
    <v>Rodovia Federal BR-470 Km 212,930, Sao Vendelino, BENTO GONCALVES, RIO GRANDE DO SUL, 95.707-540 BR</v>
    <v>Household Goods</v>
    <v>UCAS3</v>
    <v>Ações</v>
    <v>Unicasa Indústria de Móveis S/A (BVMF:UCAS3)</v>
    <v>0.01</v>
    <v>7.0420000000000005E-3</v>
    <v>34200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8.6999999999999993</v>
    <v>4</v>
    <v>BVMF</v>
    <v>1253079000</v>
    <v>4.16</v>
    <v>1954</v>
    <v>4.09</v>
    <v>0.92610000000000003</v>
    <v>B3 - Brazil Stock Exchange</v>
    <v>5235796000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4.1500000000000004</v>
    <v>51182</v>
    <v>45838.69804398148</v>
    <v>383</v>
    <v>22426060</v>
    <v>BRL</v>
    <v>Usinas Siderúrgicas de Minas Gerais S/A - USIMINAS</v>
    <v>Usinas Siderúrgicas de Minas Gerais S/A - USIMINAS</v>
    <v>4.1500000000000004</v>
    <v>4.12</v>
    <v>Avenida do Contorno, 6.594, Savassi, BELO HORIZONTE, MINAS GERAIS, 30.110-044 BR</v>
    <v>Metals &amp; Mining</v>
    <v>USIM5</v>
    <v>Ações</v>
    <v>Usinas Siderúrgicas de Minas Gerais S/A - USIMINAS (BVMF:USIM5)</v>
    <v>-0.03</v>
    <v>-7.2290000000000002E-3</v>
    <v>5644100</v>
  </rv>
  <rv s="2">
    <v>384</v>
  </rv>
  <rv s="0">
    <v>https://www.bing.com/financeapi/forcetrigger?t=bxf8h7&amp;q=BVMF%3aJALL3&amp;form=skydnc</v>
    <v>Learn more on Bing</v>
  </rv>
  <rv s="8">
    <v>pt-BR</v>
    <v>bxf8h7</v>
    <v>268435456</v>
    <v>1</v>
    <v>Da plataforma Refinitiv</v>
    <v>14</v>
    <v>15</v>
    <v>JALLES MACHADO S.A. (BVMF:JALL3)</v>
    <v>12</v>
    <v>16</v>
    <v>Finance</v>
    <v>5</v>
    <v>7.81</v>
    <v>3.72</v>
    <v>BVMF</v>
    <v>303541900</v>
    <v>3.92</v>
    <v>1980</v>
    <v>3.86</v>
    <v>0.38569999999999999</v>
    <v>B3 - Brazil Stock Exchange</v>
    <v>1177742572</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3.9</v>
    <v>5384</v>
    <v>45838.697962210157</v>
    <v>386</v>
    <v>616250</v>
    <v>BRL</v>
    <v>JALLES MACHADO S.A.</v>
    <v>JALLES MACHADO S.A.</v>
    <v>3.89</v>
    <v>3.88</v>
    <v>Fazenda Sao Pedro - Rodovia GO-080 - Km 185, Zona Rural - Caixa Postal 04, GOIANESIA, GOIAS, 76.388-899 BR</v>
    <v>Food &amp; Tobacco</v>
    <v>JALL3</v>
    <v>Ações</v>
    <v>JALLES MACHADO S.A. (BVMF:JALL3)</v>
    <v>-0.02</v>
    <v>-5.1280000000000006E-3</v>
    <v>329700</v>
  </rv>
  <rv s="2">
    <v>387</v>
  </rv>
  <rv s="0">
    <v>https://www.bing.com/financeapi/forcetrigger?t=apm3p2&amp;q=BVMF%3aBRAP4&amp;form=skydnc</v>
    <v>Learn more on Bing</v>
  </rv>
  <rv s="9">
    <v>pt-BR</v>
    <v>apm3p2</v>
    <v>268435456</v>
    <v>1</v>
    <v>Da plataforma Refinitiv</v>
    <v>17</v>
    <v>18</v>
    <v>Bradespar S.A (BVMF:BRAP4)</v>
    <v>12</v>
    <v>19</v>
    <v>Finance</v>
    <v>5</v>
    <v>18.52</v>
    <v>14.67</v>
    <v>BVMF</v>
    <v>393096600</v>
    <v>15.68</v>
    <v>2000</v>
    <v>15.5</v>
    <v>0.96619999999999995</v>
    <v>B3 - Brazil Stock Exchange</v>
    <v>5995488000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15.61</v>
    <v>45838.697952685157</v>
    <v>389</v>
    <v>4995750</v>
    <v>BRL</v>
    <v>Bradespar S.A</v>
    <v>Bradespar S.A</v>
    <v>15.6</v>
    <v>15.67</v>
    <v>Avenida Paulista, 1.450,9 andar, Cerqueira Cesar, SAO PAULO, SAO PAULO, 01.310-917 BR</v>
    <v>Metals &amp; Mining</v>
    <v>BRAP4</v>
    <v>Ações</v>
    <v>Bradespar S.A (BVMF:BRAP4)</v>
    <v>0.06</v>
    <v>3.8440000000000002E-3</v>
    <v>1350300</v>
  </rv>
  <rv s="2">
    <v>390</v>
  </rv>
  <rv s="0">
    <v>https://www.bing.com/financeapi/forcetrigger?t=apmclh&amp;q=BVMF%3aCSMG3&amp;form=skydnc</v>
    <v>Learn more on Bing</v>
  </rv>
  <rv s="8">
    <v>pt-BR</v>
    <v>apmclh</v>
    <v>268435456</v>
    <v>1</v>
    <v>Da plataforma Refinitiv</v>
    <v>14</v>
    <v>15</v>
    <v>Companhia de Saneamento de Minas Gerais - COPASA MG (BVMF:CSMG3)</v>
    <v>12</v>
    <v>16</v>
    <v>Finance</v>
    <v>5</v>
    <v>28.29</v>
    <v>18.54</v>
    <v>BVMF</v>
    <v>380253100</v>
    <v>28.29</v>
    <v>1963</v>
    <v>27.33</v>
    <v>0.82110000000000005</v>
    <v>B3 - Brazil Stock Exchange</v>
    <v>10418930000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27.4</v>
    <v>10038</v>
    <v>45838.697893518518</v>
    <v>392</v>
    <v>3017430</v>
    <v>BRL</v>
    <v>Companhia de Saneamento de Minas Gerais - COPASA MG</v>
    <v>Companhia de Saneamento de Minas Gerais - COPASA MG</v>
    <v>27.5</v>
    <v>28</v>
    <v>Rua Mar de Espanha, 525, Santo Antonio, BELO HORIZONTE, MINAS GERAIS, 30.270-130 BR</v>
    <v>Water Utilities</v>
    <v>CSMG3</v>
    <v>Ações</v>
    <v>Companhia de Saneamento de Minas Gerais - COPASA MG (BVMF:CSMG3)</v>
    <v>0.6</v>
    <v>2.1898000000000001E-2</v>
    <v>711000</v>
  </rv>
  <rv s="2">
    <v>393</v>
  </rv>
  <rv s="0">
    <v>https://www.bing.com/financeapi/forcetrigger?t=apn9fr&amp;q=BVMF%3aRENT3&amp;form=skydnc</v>
    <v>Learn more on Bing</v>
  </rv>
  <rv s="8">
    <v>pt-BR</v>
    <v>apn9fr</v>
    <v>268435456</v>
    <v>1</v>
    <v>Da plataforma Refinitiv</v>
    <v>14</v>
    <v>15</v>
    <v>LOCALIZA RENT A CAR S.A. (BVMF:RENT3)</v>
    <v>12</v>
    <v>16</v>
    <v>Finance</v>
    <v>5</v>
    <v>48.46</v>
    <v>26.37</v>
    <v>BVMF</v>
    <v>1082621000</v>
    <v>40.74</v>
    <v>1973</v>
    <v>39.67</v>
    <v>1.2524999999999999</v>
    <v>B3 - Brazil Stock Exchange</v>
    <v>43900270000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40.119999999999997</v>
    <v>22134</v>
    <v>45838.698194444441</v>
    <v>395</v>
    <v>10193080</v>
    <v>BRL</v>
    <v>LOCALIZA RENT A CAR S.A.</v>
    <v>LOCALIZA RENT A CAR S.A.</v>
    <v>40.22</v>
    <v>40.42</v>
    <v>Avenida Bernardo de Vasconcelos,377, Cachoeirinha, BELO HORIZONTE, MINAS GERAIS, 31.150-000 BR</v>
    <v>Passenger Transportation Services</v>
    <v>RENT3</v>
    <v>Ações</v>
    <v>LOCALIZA RENT A CAR S.A. (BVMF:RENT3)</v>
    <v>0.3</v>
    <v>7.4780000000000003E-3</v>
    <v>3293200</v>
  </rv>
  <rv s="2">
    <v>396</v>
  </rv>
  <rv s="0">
    <v>https://www.bing.com/financeapi/forcetrigger?t=apn8dm&amp;q=BVMF%3aRAPT4&amp;form=skydnc</v>
    <v>Learn more on Bing</v>
  </rv>
  <rv s="8">
    <v>pt-BR</v>
    <v>apn8dm</v>
    <v>268435456</v>
    <v>1</v>
    <v>Da plataforma Refinitiv</v>
    <v>14</v>
    <v>15</v>
    <v>RANDONCORP S.A. (BVMF:RAPT4)</v>
    <v>12</v>
    <v>16</v>
    <v>Finance</v>
    <v>5</v>
    <v>12.04</v>
    <v>7.86</v>
    <v>BVMF</v>
    <v>329330500</v>
    <v>8.99</v>
    <v>1992</v>
    <v>8.6300000000000008</v>
    <v>0.8639</v>
    <v>B3 - Brazil Stock Exchange</v>
    <v>2793388000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8.6199999999999992</v>
    <v>6413</v>
    <v>45838.698167476563</v>
    <v>398</v>
    <v>3054220</v>
    <v>BRL</v>
    <v>RANDONCORP S.A.</v>
    <v>RANDONCORP S.A.</v>
    <v>8.6300000000000008</v>
    <v>8.89</v>
    <v>Av. Abramo Randon, 770, Interlagos, CAXIAS DO SUL, RIO GRANDE DO SUL, 95.055-010 BR</v>
    <v>Automobiles &amp; Auto Parts</v>
    <v>RAPT4</v>
    <v>Ações</v>
    <v>RANDONCORP S.A. (BVMF:RAPT4)</v>
    <v>0.27</v>
    <v>3.1322999999999997E-2</v>
    <v>1068200</v>
  </rv>
  <rv s="2">
    <v>399</v>
  </rv>
  <rv s="0">
    <v>https://www.bing.com/financeapi/forcetrigger?t=apn8ar&amp;q=BVMF%3aRAPT3&amp;form=skydnc</v>
    <v>Learn more on Bing</v>
  </rv>
  <rv s="8">
    <v>pt-BR</v>
    <v>apn8ar</v>
    <v>268435456</v>
    <v>1</v>
    <v>Da plataforma Refinitiv</v>
    <v>14</v>
    <v>15</v>
    <v>RANDONCORP S.A. (BVMF:RAPT3)</v>
    <v>12</v>
    <v>16</v>
    <v>Finance</v>
    <v>5</v>
    <v>9.99</v>
    <v>7.31</v>
    <v>BVMF</v>
    <v>329330500</v>
    <v>8.42</v>
    <v>1992</v>
    <v>8.31</v>
    <v>0.8639</v>
    <v>B3 - Brazil Stock Exchange</v>
    <v>2793388000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8.23</v>
    <v>6413</v>
    <v>45838.694018240625</v>
    <v>401</v>
    <v>3054220</v>
    <v>BRL</v>
    <v>RANDONCORP S.A.</v>
    <v>RANDONCORP S.A.</v>
    <v>8.3699999999999992</v>
    <v>8.36</v>
    <v>Av. Abramo Randon, 770, Interlagos, CAXIAS DO SUL, RIO GRANDE DO SUL, 95.055-010 BR</v>
    <v>Automobiles &amp; Auto Parts</v>
    <v>RAPT3</v>
    <v>Ações</v>
    <v>RANDONCORP S.A. (BVMF:RAPT3)</v>
    <v>0.13</v>
    <v>1.5795999999999998E-2</v>
    <v>3000</v>
  </rv>
  <rv s="2">
    <v>402</v>
  </rv>
  <rv s="0">
    <v>https://www.bing.com/financeapi/forcetrigger?t=bxiaqh&amp;q=BVMF%3aMBLY3&amp;form=skydnc</v>
    <v>Learn more on Bing</v>
  </rv>
  <rv s="9">
    <v>pt-BR</v>
    <v>bxiaqh</v>
    <v>268435456</v>
    <v>1</v>
    <v>Da plataforma Refinitiv</v>
    <v>17</v>
    <v>18</v>
    <v>GRUPO TOKY S.A. (BVMF:TOKY3)</v>
    <v>12</v>
    <v>19</v>
    <v>Finance</v>
    <v>5</v>
    <v>3.3</v>
    <v>0.84</v>
    <v>BVMF</v>
    <v>122763400</v>
    <v>0.9</v>
    <v>2018</v>
    <v>0.88</v>
    <v>1.5529999999999999</v>
    <v>B3 - Brazil Stock Exchange</v>
    <v>110487060</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0.89</v>
    <v>45838.691006944442</v>
    <v>404</v>
    <v>311450</v>
    <v>BRL</v>
    <v>GRUPO TOKY S.A.</v>
    <v>GRUPO TOKY S.A.</v>
    <v>0.88</v>
    <v>0.9</v>
    <v>Avenida das Nacoes Unidas, n 16.737, Mezanino sala 2, Varzea de Baixo, Sao Paulo, SAO PAULO, 04.730-090 BR</v>
    <v>Specialty Retailers</v>
    <v>TOKY3</v>
    <v>Ações</v>
    <v>GRUPO TOKY S.A. (BVMF:TOKY3)</v>
    <v>0.01</v>
    <v>1.1235999999999999E-2</v>
    <v>4300</v>
  </rv>
  <rv s="2">
    <v>405</v>
  </rv>
  <rv s="0">
    <v>https://www.bing.com/financeapi/forcetrigger?t=apmo1h&amp;q=BVMF%3aGOAU4&amp;form=skydnc</v>
    <v>Learn more on Bing</v>
  </rv>
  <rv s="8">
    <v>pt-BR</v>
    <v>apmo1h</v>
    <v>268435456</v>
    <v>1</v>
    <v>Da plataforma Refinitiv</v>
    <v>14</v>
    <v>15</v>
    <v>METALURGICA GERDAU S.A. (BVMF:GOAU4)</v>
    <v>12</v>
    <v>16</v>
    <v>Finance</v>
    <v>5</v>
    <v>11.8</v>
    <v>7.6</v>
    <v>BVMF</v>
    <v>993705800</v>
    <v>8.9</v>
    <v>1901</v>
    <v>8.7100000000000009</v>
    <v>0.6946</v>
    <v>B3 - Brazil Stock Exchange</v>
    <v>8779090000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8.82</v>
    <v>30000</v>
    <v>45838.698182870372</v>
    <v>407</v>
    <v>5871070</v>
    <v>BRL</v>
    <v>METALURGICA GERDAU S.A.</v>
    <v>METALURGICA GERDAU S.A.</v>
    <v>8.7799999999999994</v>
    <v>8.84</v>
    <v>Avenida Doutora Ruth Cardoso, 8.501,8 andar, Pinheiros, SAO PAULO, SAO PAULO, 05.425-070 BR</v>
    <v>Metals &amp; Mining</v>
    <v>GOAU4</v>
    <v>Ações</v>
    <v>METALURGICA GERDAU S.A. (BVMF:GOAU4)</v>
    <v>0.02</v>
    <v>2.2680000000000001E-3</v>
    <v>1649200</v>
  </rv>
  <rv s="2">
    <v>408</v>
  </rv>
  <rv s="4">
    <v>12</v>
    <v>Beta</v>
    <v>0</v>
  </rv>
  <rv s="6">
    <v>12</v>
    <v>1</v>
  </rv>
  <rv s="0">
    <v>https://www.bing.com/financeapi/forcetrigger?t=apmfar&amp;q=BVMF%3aDOHL4&amp;form=skydnc</v>
    <v>Learn more on Bing</v>
  </rv>
  <rv s="15">
    <v>pt-BR</v>
    <v>apmfar</v>
    <v>268435456</v>
    <v>1</v>
    <v>Da plataforma Refinitiv</v>
    <v>32</v>
    <v>33</v>
    <v>DOHLER S.A. (BVMF:DOHL4)</v>
    <v>12</v>
    <v>34</v>
    <v>Finance</v>
    <v>5</v>
    <v>4.3899999999999997</v>
    <v>3.49</v>
    <v>BVMF</v>
    <v>75645290</v>
    <v>3.95</v>
    <v>1944</v>
    <v>3.9</v>
    <v>B3 - Brazil Stock Exchange</v>
    <v>437691900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3.95</v>
    <v>3000</v>
    <v>45838.676506435157</v>
    <v>412</v>
    <v>BRL</v>
    <v>DOHLER S.A.</v>
    <v>DOHLER S.A.</v>
    <v>3.95</v>
    <v>3.95</v>
    <v>Rua Arno Waldemar Dohler, 145, Zona Indl. Norte, JOINVILLE, SANTA CATARINA, 89.219-902 BR</v>
    <v>Textiles &amp; Apparel</v>
    <v>DOHL4</v>
    <v>Ações</v>
    <v>DOHLER S.A. (BVMF:DOHL4)</v>
    <v>0</v>
    <v>0</v>
    <v>2600</v>
  </rv>
  <rv s="2">
    <v>413</v>
  </rv>
  <rv s="0">
    <v>https://www.bing.com/financeapi/forcetrigger?t=apm3ur&amp;q=BVMF%3aBRFS3&amp;form=skydnc</v>
    <v>Learn more on Bing</v>
  </rv>
  <rv s="8">
    <v>pt-BR</v>
    <v>apm3ur</v>
    <v>268435456</v>
    <v>1</v>
    <v>Da plataforma Refinitiv</v>
    <v>14</v>
    <v>15</v>
    <v>BRF S.A. (BVMF:BRFS3)</v>
    <v>12</v>
    <v>16</v>
    <v>Finance</v>
    <v>5</v>
    <v>28.87</v>
    <v>17.309999999999999</v>
    <v>BVMF</v>
    <v>1682473000</v>
    <v>20.12</v>
    <v>1934</v>
    <v>19.62</v>
    <v>1.5088999999999999</v>
    <v>B3 - Brazil Stock Exchange</v>
    <v>33531686890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19.899999999999999</v>
    <v>100000</v>
    <v>45838.698260625002</v>
    <v>415</v>
    <v>12711920</v>
    <v>BRL</v>
    <v>BRF S.A.</v>
    <v>BRF S.A.</v>
    <v>19.87</v>
    <v>19.93</v>
    <v>Av. Jorge Tzachel, 475, Fazenda, ITAJAI, SANTA CATARINA, 88.301-600 BR</v>
    <v>Food &amp; Tobacco</v>
    <v>BRFS3</v>
    <v>Ações</v>
    <v>BRF S.A. (BVMF:BRFS3)</v>
    <v>0.03</v>
    <v>1.5079999999999998E-3</v>
    <v>1640300</v>
  </rv>
  <rv s="2">
    <v>416</v>
  </rv>
  <rv s="0">
    <v>https://www.bing.com/financeapi/forcetrigger?t=bxmpim&amp;q=BVMF%3aINTB3&amp;form=skydnc</v>
    <v>Learn more on Bing</v>
  </rv>
  <rv s="9">
    <v>pt-BR</v>
    <v>bxmpim</v>
    <v>268435456</v>
    <v>1</v>
    <v>Da plataforma Refinitiv</v>
    <v>17</v>
    <v>18</v>
    <v>Intelbras S.A. Indústria de Telecomunicação Eletrônica Brasileira (BVMF:INTB3)</v>
    <v>12</v>
    <v>19</v>
    <v>Finance</v>
    <v>5</v>
    <v>22.84</v>
    <v>11.26</v>
    <v>BVMF</v>
    <v>327611100</v>
    <v>16.100000000000001</v>
    <v>1974</v>
    <v>15.66</v>
    <v>1.2358</v>
    <v>B3 - Brazil Stock Exchange</v>
    <v>5225397045</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16</v>
    <v>45838.698229166665</v>
    <v>418</v>
    <v>2682380</v>
    <v>BRL</v>
    <v>Intelbras S.A. Indústria de Telecomunicação Eletrônica Brasileira</v>
    <v>Intelbras S.A. Indústria de Telecomunicação Eletrônica Brasileira</v>
    <v>15.97</v>
    <v>15.95</v>
    <v>Rodovia BR 101 Km 210, Area Industrial, SAO JOSE, SANTA CATARINA, 88.104-800 BR</v>
    <v>Communications &amp; Networking</v>
    <v>INTB3</v>
    <v>Ações</v>
    <v>Intelbras S.A. Indústria de Telecomunicação Eletrônica Brasileira (BVMF:INTB3)</v>
    <v>-0.05</v>
    <v>-3.1250000000000002E-3</v>
    <v>748300</v>
  </rv>
  <rv s="2">
    <v>419</v>
  </rv>
  <rv s="0">
    <v>https://www.bing.com/financeapi/forcetrigger?t=c2ry1h&amp;q=BVMF%3aCBAV3&amp;form=skydnc</v>
    <v>Learn more on Bing</v>
  </rv>
  <rv s="8">
    <v>pt-BR</v>
    <v>c2ry1h</v>
    <v>268435456</v>
    <v>1</v>
    <v>Da plataforma Refinitiv</v>
    <v>14</v>
    <v>15</v>
    <v>Companhia Brasileira de Alumínio (BVMF:CBAV3)</v>
    <v>12</v>
    <v>16</v>
    <v>Finance</v>
    <v>5</v>
    <v>7.62</v>
    <v>3.6</v>
    <v>BVMF</v>
    <v>651072700</v>
    <v>4.82</v>
    <v>1941</v>
    <v>4.71</v>
    <v>0.98009999999999997</v>
    <v>B3 - Brazil Stock Exchange</v>
    <v>3118638233</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4.84</v>
    <v>5811</v>
    <v>45838.698236365628</v>
    <v>421</v>
    <v>4261490</v>
    <v>BRL</v>
    <v>Companhia Brasileira de Alumínio</v>
    <v>Companhia Brasileira de Alumínio</v>
    <v>4.7699999999999996</v>
    <v>4.79</v>
    <v>Av. Luis Carlos Berrini, 105, 14 andar, Cidade Moncoes, SAO PAULO, SAO PAULO, 04.571-900 BR</v>
    <v>Metals &amp; Mining</v>
    <v>CBAV3</v>
    <v>Ações</v>
    <v>Companhia Brasileira de Alumínio (BVMF:CBAV3)</v>
    <v>-0.05</v>
    <v>-1.0331E-2</v>
    <v>949300</v>
  </rv>
  <rv s="2">
    <v>422</v>
  </rv>
  <rv s="0">
    <v>https://www.bing.com/financeapi/forcetrigger?t=apmtz2&amp;q=BVMF%3aKLBN3&amp;form=skydnc</v>
    <v>Learn more on Bing</v>
  </rv>
  <rv s="8">
    <v>pt-BR</v>
    <v>apmtz2</v>
    <v>268435456</v>
    <v>1</v>
    <v>Da plataforma Refinitiv</v>
    <v>14</v>
    <v>15</v>
    <v>KLABIN S.A. (BVMF:KLBN3)</v>
    <v>12</v>
    <v>16</v>
    <v>Finance</v>
    <v>5</v>
    <v>4.92</v>
    <v>3.56</v>
    <v>BVMF</v>
    <v>1235936000</v>
    <v>3.76</v>
    <v>1978</v>
    <v>3.65</v>
    <v>0.34839999999999999</v>
    <v>B3 - Brazil Stock Exchange</v>
    <v>22352250000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3.68</v>
    <v>14207</v>
    <v>45838.697947892972</v>
    <v>424</v>
    <v>2435060</v>
    <v>BRL</v>
    <v>KLABIN S.A.</v>
    <v>KLABIN S.A.</v>
    <v>3.71</v>
    <v>3.73</v>
    <v>Avenida Brigadeiro Faria Lima, 3600, 3, 4 E 5 Andares, Itaim Bibi, SAO PAULO, SAO PAULO, 04.538-132 BR</v>
    <v>Containers &amp; Packaging</v>
    <v>KLBN3</v>
    <v>Ações</v>
    <v>KLABIN S.A. (BVMF:KLBN3)</v>
    <v>0.05</v>
    <v>1.3587E-2</v>
    <v>214800</v>
  </rv>
  <rv s="2">
    <v>425</v>
  </rv>
  <rv s="0">
    <v>https://www.bing.com/financeapi/forcetrigger?t=bwaq4c&amp;q=BVMF%3aGMAT3&amp;form=skydnc</v>
    <v>Learn more on Bing</v>
  </rv>
  <rv s="8">
    <v>pt-BR</v>
    <v>bwaq4c</v>
    <v>268435456</v>
    <v>1</v>
    <v>Da plataforma Refinitiv</v>
    <v>14</v>
    <v>15</v>
    <v>GRUPO MATEUS S.A. (BVMF:GMAT3)</v>
    <v>12</v>
    <v>16</v>
    <v>Finance</v>
    <v>5</v>
    <v>8.17</v>
    <v>5.75</v>
    <v>BVMF</v>
    <v>2248470000</v>
    <v>8.17</v>
    <v>2016</v>
    <v>7.79</v>
    <v>1.2963</v>
    <v>B3 - Brazil Stock Exchange</v>
    <v>18347515200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7.9</v>
    <v>29668</v>
    <v>45838.698276585157</v>
    <v>427</v>
    <v>2817940</v>
    <v>BRL</v>
    <v>GRUPO MATEUS S.A.</v>
    <v>GRUPO MATEUS S.A.</v>
    <v>7.91</v>
    <v>8.16</v>
    <v>Av. Daniel de la Touche, 73A, Cohama, SAO LUIS, MARANHAO, 65.074-115 BR</v>
    <v>Food &amp; Drug Retailing</v>
    <v>GMAT3</v>
    <v>Ações</v>
    <v>GRUPO MATEUS S.A. (BVMF:GMAT3)</v>
    <v>0.26</v>
    <v>3.2911000000000003E-2</v>
    <v>4349600</v>
  </rv>
  <rv s="2">
    <v>428</v>
  </rv>
  <rv s="0">
    <v>https://www.bing.com/financeapi/forcetrigger?t=apngxm&amp;q=BVMF%3aTIMS3&amp;form=skydnc</v>
    <v>Learn more on Bing</v>
  </rv>
  <rv s="8">
    <v>pt-BR</v>
    <v>apngxm</v>
    <v>268435456</v>
    <v>1</v>
    <v>Da plataforma Refinitiv</v>
    <v>14</v>
    <v>15</v>
    <v>TIM S.A. (BVMF:TIMS3)</v>
    <v>12</v>
    <v>16</v>
    <v>Finance</v>
    <v>5</v>
    <v>21.78</v>
    <v>12.82</v>
    <v>BVMF</v>
    <v>2420804000</v>
    <v>21.74</v>
    <v>1998</v>
    <v>21.19</v>
    <v>0.68669999999999998</v>
    <v>B3 - Brazil Stock Exchange</v>
    <v>52579862880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21.33</v>
    <v>9127</v>
    <v>45838.698287037034</v>
    <v>430</v>
    <v>6504370</v>
    <v>BRL</v>
    <v>TIM S.A.</v>
    <v>TIM S.A.</v>
    <v>21.19</v>
    <v>21.72</v>
    <v>Av Joao Cabral De Mello Neto 00850 Blc 001 Salas 0501 A 1208, Barra Da Tijuca, RIO DE JANEIRO, RIO DE JANEIRO, 22.775-057 BR</v>
    <v>Telecommunications Services</v>
    <v>TIMS3</v>
    <v>Ações</v>
    <v>TIM S.A. (BVMF:TIMS3)</v>
    <v>0.39</v>
    <v>1.8284000000000002E-2</v>
    <v>1660600</v>
  </rv>
  <rv s="2">
    <v>431</v>
  </rv>
  <rv s="0">
    <v>https://www.bing.com/financeapi/forcetrigger?t=apm352&amp;q=BVMF%3aBPAC3&amp;form=skydnc</v>
    <v>Learn more on Bing</v>
  </rv>
  <rv s="8">
    <v>pt-BR</v>
    <v>apm352</v>
    <v>268435456</v>
    <v>1</v>
    <v>Da plataforma Refinitiv</v>
    <v>14</v>
    <v>15</v>
    <v>Banco BTG Pactual S.A. (BVMF:BPAC3)</v>
    <v>12</v>
    <v>16</v>
    <v>Finance</v>
    <v>5</v>
    <v>24.07</v>
    <v>13.16</v>
    <v>BVMF</v>
    <v>10108690000</v>
    <v>22.9</v>
    <v>1979</v>
    <v>22.7</v>
    <v>1.3775999999999999</v>
    <v>B3 - Brazil Stock Exchange</v>
    <v>190326300000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22.56</v>
    <v>4900</v>
    <v>45838.693564814814</v>
    <v>433</v>
    <v>6775220</v>
    <v>BRL</v>
    <v>Banco BTG Pactual S.A.</v>
    <v>Banco BTG Pactual S.A.</v>
    <v>22.89</v>
    <v>22.7</v>
    <v>Praia de Botafogo, 501, 5 e 6 andares, Botafogo, RIO DE JANEIRO, RIO DE JANEIRO, 22.250-040 BR</v>
    <v>Investment Banking &amp; Investment Services</v>
    <v>BPAC3</v>
    <v>Ações</v>
    <v>Banco BTG Pactual S.A. (BVMF:BPAC3)</v>
    <v>0.14000000000000001</v>
    <v>6.2060000000000006E-3</v>
    <v>500</v>
  </rv>
  <rv s="2">
    <v>434</v>
  </rv>
  <rv s="0">
    <v>https://www.bing.com/financeapi/forcetrigger?t=bsfxec&amp;q=BVMF%3aVIVA3&amp;form=skydnc</v>
    <v>Learn more on Bing</v>
  </rv>
  <rv s="8">
    <v>pt-BR</v>
    <v>bsfxec</v>
    <v>268435456</v>
    <v>1</v>
    <v>Da plataforma Refinitiv</v>
    <v>14</v>
    <v>15</v>
    <v>Vivara Participações S.A. (BVMF:VIVA3)</v>
    <v>12</v>
    <v>16</v>
    <v>Finance</v>
    <v>5</v>
    <v>28.31</v>
    <v>15.76</v>
    <v>BVMF</v>
    <v>236197800</v>
    <v>27.12</v>
    <v>2019</v>
    <v>25.91</v>
    <v>1.3909</v>
    <v>B3 - Brazil Stock Exchange</v>
    <v>6320653128</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26.18</v>
    <v>6216</v>
    <v>45838.698280983597</v>
    <v>436</v>
    <v>2502410</v>
    <v>BRL</v>
    <v>Vivara Participações S.A.</v>
    <v>Vivara Participações S.A.</v>
    <v>26.18</v>
    <v>26.76</v>
    <v>Rua Arquiteto Olavo Redig de Campos, 105 -15 andar, Chacara Santo Antonio, Sao Paulo, SAO PAULO, 04.709-000 BR</v>
    <v>Specialty Retailers</v>
    <v>VIVA3</v>
    <v>Ações</v>
    <v>Vivara Participações S.A. (BVMF:VIVA3)</v>
    <v>0.57999999999999996</v>
    <v>2.2153999999999997E-2</v>
    <v>1274600</v>
  </rv>
  <rv s="2">
    <v>437</v>
  </rv>
  <rv s="0">
    <v>https://www.bing.com/financeapi/forcetrigger?t=boezz2&amp;q=BVMF%3aLOGG3&amp;form=skydnc</v>
    <v>Learn more on Bing</v>
  </rv>
  <rv s="14">
    <v>pt-BR</v>
    <v>boezz2</v>
    <v>268435456</v>
    <v>1</v>
    <v>Da plataforma Refinitiv</v>
    <v>29</v>
    <v>30</v>
    <v>Log Commercial Properties e Participações S/A (BVMF:LOGG3)</v>
    <v>12</v>
    <v>31</v>
    <v>Finance</v>
    <v>5</v>
    <v>22.85</v>
    <v>15.82</v>
    <v>BVMF</v>
    <v>87859150</v>
    <v>20.85</v>
    <v>20.49</v>
    <v>1.1689000000000001</v>
    <v>B3 - Brazil Stock Exchange</v>
    <v>1817805813</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20.72</v>
    <v>45838.697962962964</v>
    <v>439</v>
    <v>230300</v>
    <v>BRL</v>
    <v>Log Commercial Properties e Participações S/A</v>
    <v>Log Commercial Properties e Participações S/A</v>
    <v>20.73</v>
    <v>20.69</v>
    <v>Av. Professor Mario Werneck, n 621, 10 andar, BH/MG, Conjunto 02, Estoril, BELO HORIZONTE, MINAS GERAIS, 30.455-610 BR</v>
    <v>Real Estate Operations</v>
    <v>LOGG3</v>
    <v>Ações</v>
    <v>Log Commercial Properties e Participações S/A (BVMF:LOGG3)</v>
    <v>-0.03</v>
    <v>-1.4480000000000001E-3</v>
    <v>45900</v>
  </rv>
  <rv s="2">
    <v>440</v>
  </rv>
  <rv s="0">
    <v>https://www.bing.com/financeapi/forcetrigger?t=apn7pr&amp;q=BVMF%3aQUAL3&amp;form=skydnc</v>
    <v>Learn more on Bing</v>
  </rv>
  <rv s="8">
    <v>pt-BR</v>
    <v>apn7pr</v>
    <v>268435456</v>
    <v>1</v>
    <v>Da plataforma Refinitiv</v>
    <v>14</v>
    <v>15</v>
    <v>QUALICORP CONSULTORIA E CORRETORA DE SEGUROS S.A. (BVMF:QUAL3)</v>
    <v>12</v>
    <v>16</v>
    <v>Finance</v>
    <v>5</v>
    <v>2.75</v>
    <v>1.37</v>
    <v>BVMF</v>
    <v>284014300</v>
    <v>1.91</v>
    <v>2010</v>
    <v>1.82</v>
    <v>1.3728</v>
    <v>B3 - Brazil Stock Exchange</v>
    <v>519746200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1.82</v>
    <v>1558</v>
    <v>45838.698252314818</v>
    <v>442</v>
    <v>2182520</v>
    <v>BRL</v>
    <v>QUALICORP CONSULTORIA E CORRETORA DE SEGUROS S.A.</v>
    <v>QUALICORP CONSULTORIA E CORRETORA DE SEGUROS S.A.</v>
    <v>1.84</v>
    <v>1.86</v>
    <v>Avenida Paulista, 4753 andar - parte, Bela Vista, SAO PAULO, SAO PAULO, 01.311-000 BR</v>
    <v>Insurance</v>
    <v>QUAL3</v>
    <v>Ações</v>
    <v>QUALICORP CONSULTORIA E CORRETORA DE SEGUROS S.A. (BVMF:QUAL3)</v>
    <v>0.04</v>
    <v>2.1978000000000001E-2</v>
    <v>822500</v>
  </rv>
  <rv s="2">
    <v>443</v>
  </rv>
  <rv s="0">
    <v>https://www.bing.com/financeapi/forcetrigger?t=apn54c&amp;q=BVMF%3aPNVL3&amp;form=skydnc</v>
    <v>Learn more on Bing</v>
  </rv>
  <rv s="8">
    <v>pt-BR</v>
    <v>apn54c</v>
    <v>268435456</v>
    <v>1</v>
    <v>Da plataforma Refinitiv</v>
    <v>14</v>
    <v>15</v>
    <v>DIMED S.A. DISTRIBUIDORA DE MEDICAMENTOS (BVMF:PNVL3)</v>
    <v>12</v>
    <v>16</v>
    <v>Finance</v>
    <v>5</v>
    <v>10.86</v>
    <v>7.75</v>
    <v>BVMF</v>
    <v>150377500</v>
    <v>9.6300000000000008</v>
    <v>1920</v>
    <v>9.4499999999999993</v>
    <v>1.1053999999999999</v>
    <v>B3 - Brazil Stock Exchange</v>
    <v>1445127775</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9.52</v>
    <v>10698</v>
    <v>45838.69804398148</v>
    <v>445</v>
    <v>476110</v>
    <v>BRL</v>
    <v>DIMED S.A. DISTRIBUIDORA DE MEDICAMENTOS</v>
    <v>DIMED S.A. DISTRIBUIDORA DE MEDICAMENTOS</v>
    <v>9.5</v>
    <v>9.61</v>
    <v>Avenida Industrial Belgraff, 865, Predio 100, Industrial, ELDORADO DO SUL, RIO GRANDE DO SUL, 92.990-000 BR</v>
    <v>Food &amp; Drug Retailing</v>
    <v>PNVL3</v>
    <v>Ações</v>
    <v>DIMED S.A. DISTRIBUIDORA DE MEDICAMENTOS (BVMF:PNVL3)</v>
    <v>0.09</v>
    <v>9.4540000000000006E-3</v>
    <v>83800</v>
  </rv>
  <rv s="2">
    <v>446</v>
  </rv>
  <rv s="16">
    <v>pt-BR</v>
    <v>cg99rw</v>
    <v>268435456</v>
    <v>1</v>
    <v>Da plataforma Refinitiv</v>
    <v>35</v>
    <v>36</v>
    <v>Brompton Split Corp. Cl A ETF (NEOE:CLSA)</v>
    <v>37</v>
    <v>38</v>
    <v>Finance</v>
    <v>39</v>
    <v>11</v>
    <v>8.83</v>
    <v>NEOE</v>
    <v>11</v>
    <v>11</v>
    <v>NEO Exchange</v>
    <v>4296265</v>
    <v>10.94</v>
    <v>45834.625820231253</v>
    <v>CAD</v>
    <v>Brompton Split Corp. Cl A ETF</v>
    <v>11</v>
    <v>11</v>
    <v>CLSA</v>
    <v>Fundos mais negociados</v>
    <v>Brompton Split Corp. Cl A ETF (NEOE:CLSA)</v>
    <v>0.06</v>
    <v>5.4840000000000002E-3</v>
    <v>5800</v>
  </rv>
  <rv s="2">
    <v>448</v>
  </rv>
  <rv s="4">
    <v>12</v>
    <v>Ações em circulação</v>
    <v>0</v>
  </rv>
  <rv s="0">
    <v>https://www.bing.com/financeapi/forcetrigger?t=apmu2w&amp;q=BVMF%3aKLBN4&amp;form=skydnc</v>
    <v>Learn more on Bing</v>
  </rv>
  <rv s="8">
    <v>pt-BR</v>
    <v>apmu2w</v>
    <v>268435456</v>
    <v>1</v>
    <v>Da plataforma Refinitiv</v>
    <v>14</v>
    <v>15</v>
    <v>KLABIN S.A. (BVMF:KLBN4)</v>
    <v>12</v>
    <v>16</v>
    <v>Finance</v>
    <v>5</v>
    <v>4.6900000000000004</v>
    <v>3.48</v>
    <v>BVMF</v>
    <v>1235936000</v>
    <v>3.64</v>
    <v>1978</v>
    <v>3.55</v>
    <v>0.34839999999999999</v>
    <v>B3 - Brazil Stock Exchange</v>
    <v>22352250000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3.58</v>
    <v>14207</v>
    <v>45838.698240740741</v>
    <v>451</v>
    <v>2435060</v>
    <v>BRL</v>
    <v>KLABIN S.A.</v>
    <v>KLABIN S.A.</v>
    <v>3.58</v>
    <v>3.61</v>
    <v>Avenida Brigadeiro Faria Lima, 3600, 3, 4 E 5 Andares, Itaim Bibi, SAO PAULO, SAO PAULO, 04.538-132 BR</v>
    <v>Containers &amp; Packaging</v>
    <v>KLBN4</v>
    <v>Ações</v>
    <v>KLABIN S.A. (BVMF:KLBN4)</v>
    <v>0.03</v>
    <v>8.3800000000000003E-3</v>
    <v>1391400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9.42</v>
    <v>1979</v>
    <v>9.4</v>
    <v>1.3775999999999999</v>
    <v>B3 - Brazil Stock Exchange</v>
    <v>190326300000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9.39</v>
    <v>4900</v>
    <v>45838.69672453704</v>
    <v>454</v>
    <v>6775220</v>
    <v>BRL</v>
    <v>Banco BTG Pactual S.A.</v>
    <v>Banco BTG Pactual S.A.</v>
    <v>9.41</v>
    <v>9.42</v>
    <v>Praia de Botafogo, 501, 5 e 6 andares, Botafogo, RIO DE JANEIRO, RIO DE JANEIRO, 22.250-040 BR</v>
    <v>Investment Banking &amp; Investment Services</v>
    <v>BPAC5</v>
    <v>Ações</v>
    <v>Banco BTG Pactual S.A. (BVMF:BPAC5)</v>
    <v>0.03</v>
    <v>3.1949999999999999E-3</v>
    <v>6200</v>
  </rv>
  <rv s="2">
    <v>455</v>
  </rv>
  <rv s="0">
    <v>https://www.bing.com/financeapi/forcetrigger?t=apmeyc&amp;q=BVMF%3aDIRR3&amp;form=skydnc</v>
    <v>Learn more on Bing</v>
  </rv>
  <rv s="8">
    <v>pt-BR</v>
    <v>apmeyc</v>
    <v>268435456</v>
    <v>1</v>
    <v>Da plataforma Refinitiv</v>
    <v>14</v>
    <v>15</v>
    <v>DIRECIONAL ENGENHARIA S.A. (BVMF:DIRR3)</v>
    <v>12</v>
    <v>16</v>
    <v>Finance</v>
    <v>5</v>
    <v>43.33</v>
    <v>23.3</v>
    <v>BVMF</v>
    <v>173500000</v>
    <v>40.53</v>
    <v>1981</v>
    <v>39.75</v>
    <v>1.004</v>
    <v>B3 - Brazil Stock Exchange</v>
    <v>7363340000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40.44</v>
    <v>745</v>
    <v>45838.698133726561</v>
    <v>457</v>
    <v>1693200</v>
    <v>BRL</v>
    <v>DIRECIONAL ENGENHARIA S.A.</v>
    <v>DIRECIONAL ENGENHARIA S.A.</v>
    <v>40.36</v>
    <v>40.520000000000003</v>
    <v>Rua dos Otoni, 177, Santa Efigenia, BELO HORIZONTE, MINAS GERAIS, 30.150-270 BR</v>
    <v>Real Estate Operations</v>
    <v>DIRR3</v>
    <v>Ações</v>
    <v>DIRECIONAL ENGENHARIA S.A. (BVMF:DIRR3)</v>
    <v>0.08</v>
    <v>1.9780000000000002E-3</v>
    <v>716700</v>
  </rv>
  <rv s="2">
    <v>458</v>
  </rv>
  <rv s="0">
    <v>https://www.bing.com/financeapi/forcetrigger?t=apn177&amp;q=BVMF%3aMYPK3&amp;form=skydnc</v>
    <v>Learn more on Bing</v>
  </rv>
  <rv s="8">
    <v>pt-BR</v>
    <v>apn177</v>
    <v>268435456</v>
    <v>1</v>
    <v>Da plataforma Refinitiv</v>
    <v>14</v>
    <v>15</v>
    <v>IOCHPE-MAXION S.A. (BVMF:MYPK3)</v>
    <v>12</v>
    <v>16</v>
    <v>Finance</v>
    <v>5</v>
    <v>13.84</v>
    <v>9.7200000000000006</v>
    <v>BVMF</v>
    <v>153719600</v>
    <v>13.37</v>
    <v>1940</v>
    <v>13.22</v>
    <v>0.39040000000000002</v>
    <v>B3 - Brazil Stock Exchange</v>
    <v>2046007876</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13.36</v>
    <v>17000</v>
    <v>45838.697858796295</v>
    <v>460</v>
    <v>610910</v>
    <v>BRL</v>
    <v>IOCHPE-MAXION S.A.</v>
    <v>IOCHPE-MAXION S.A.</v>
    <v>13.29</v>
    <v>13.31</v>
    <v>Rua Othon Barcellos, n 83, Itagacaba, CRUZEIRO, SAO PAULO, 12.730-900 BR</v>
    <v>Automobiles &amp; Auto Parts</v>
    <v>MYPK3</v>
    <v>Ações</v>
    <v>IOCHPE-MAXION S.A. (BVMF:MYPK3)</v>
    <v>-0.05</v>
    <v>-3.7430000000000002E-3</v>
    <v>97200</v>
  </rv>
  <rv s="2">
    <v>461</v>
  </rv>
  <rv s="0">
    <v>https://www.bing.com/financeapi/forcetrigger?t=bwukvh&amp;q=BVMF%3aRDOR3&amp;form=skydnc</v>
    <v>Learn more on Bing</v>
  </rv>
  <rv s="8">
    <v>pt-BR</v>
    <v>bwukvh</v>
    <v>268435456</v>
    <v>1</v>
    <v>Da plataforma Refinitiv</v>
    <v>14</v>
    <v>15</v>
    <v>Rede D'Or São Luiz S.A. (BVMF:RDOR3)</v>
    <v>12</v>
    <v>16</v>
    <v>Finance</v>
    <v>5</v>
    <v>38.049999999999997</v>
    <v>24.47</v>
    <v>BVMF</v>
    <v>2289292000</v>
    <v>35.54</v>
    <v>2003</v>
    <v>34.770000000000003</v>
    <v>1.5251999999999999</v>
    <v>B3 - Brazil Stock Exchange</v>
    <v>81246973080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34.9</v>
    <v>71000</v>
    <v>45838.698321759257</v>
    <v>463</v>
    <v>4844290</v>
    <v>BRL</v>
    <v>Rede D'Or São Luiz S.A.</v>
    <v>Rede D'Or São Luiz S.A.</v>
    <v>34.79</v>
    <v>35.49</v>
    <v>Rua Francisco Marengo, n 1.312, Tatuape, SAO PAULO, SAO PAULO, 03.313-000 BR</v>
    <v>Healthcare Providers &amp; Services</v>
    <v>RDOR3</v>
    <v>Ações</v>
    <v>Rede D'Or São Luiz S.A. (BVMF:RDOR3)</v>
    <v>0.59</v>
    <v>1.6905E-2</v>
    <v>1699400</v>
  </rv>
  <rv s="2">
    <v>464</v>
  </rv>
  <rv s="0">
    <v>https://www.bing.com/financeapi/forcetrigger?t=apnkdm&amp;q=BVMF%3aVIVT3&amp;form=skydnc</v>
    <v>Learn more on Bing</v>
  </rv>
  <rv s="8">
    <v>pt-BR</v>
    <v>apnkdm</v>
    <v>268435456</v>
    <v>1</v>
    <v>Da plataforma Refinitiv</v>
    <v>14</v>
    <v>15</v>
    <v>TELEFÔNICA BRASIL S.A (BVMF:VIVT3)</v>
    <v>12</v>
    <v>16</v>
    <v>Finance</v>
    <v>5</v>
    <v>31.5</v>
    <v>21.03</v>
    <v>BVMF</v>
    <v>3261287000</v>
    <v>31.5</v>
    <v>1998</v>
    <v>30.32</v>
    <v>0.58309999999999995</v>
    <v>B3 - Brazil Stock Exchange</v>
    <v>102600089020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30.4</v>
    <v>33000</v>
    <v>45838.698287037034</v>
    <v>466</v>
    <v>4936560</v>
    <v>BRL</v>
    <v>TELEFÔNICA BRASIL S.A</v>
    <v>TELEFÔNICA BRASIL S.A</v>
    <v>30.32</v>
    <v>31.46</v>
    <v>Av Engenheiro Luis Carlos Berrini, 1376 32 andar, Cidade Moncoes, SAO PAULO, SAO PAULO, 04.571-936 BR</v>
    <v>Telecommunications Services</v>
    <v>VIVT3</v>
    <v>Ações</v>
    <v>TELEFÔNICA BRASIL S.A (BVMF:VIVT3)</v>
    <v>1.06</v>
    <v>3.4868000000000003E-2</v>
    <v>2676400</v>
  </rv>
  <rv s="2">
    <v>467</v>
  </rv>
  <rv s="0">
    <v>https://www.bing.com/financeapi/forcetrigger?t=bvgm3m&amp;q=BVMF%3aPGMN3&amp;form=skydnc</v>
    <v>Learn more on Bing</v>
  </rv>
  <rv s="8">
    <v>pt-BR</v>
    <v>bvgm3m</v>
    <v>268435456</v>
    <v>1</v>
    <v>Da plataforma Refinitiv</v>
    <v>14</v>
    <v>15</v>
    <v>Empreendimentos Pague Menos S.A. (BVMF:PGMN3)</v>
    <v>12</v>
    <v>16</v>
    <v>Finance</v>
    <v>5</v>
    <v>3.64</v>
    <v>2.2200000000000002</v>
    <v>BVMF</v>
    <v>622672700</v>
    <v>3.47</v>
    <v>1981</v>
    <v>3.4</v>
    <v>1.3250999999999999</v>
    <v>B3 - Brazil Stock Exchange</v>
    <v>2123313907</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3.43</v>
    <v>25799</v>
    <v>45838.698136990628</v>
    <v>469</v>
    <v>768190</v>
    <v>BRL</v>
    <v>Empreendimentos Pague Menos S.A.</v>
    <v>Empreendimentos Pague Menos S.A.</v>
    <v>3.43</v>
    <v>3.41</v>
    <v>Rua Senador Pompeu, n 1520, Centro, FORTALEZA, CEARA, 60.025-002 BR</v>
    <v>Food &amp; Drug Retailing</v>
    <v>PGMN3</v>
    <v>Ações</v>
    <v>Empreendimentos Pague Menos S.A. (BVMF:PGMN3)</v>
    <v>-0.02</v>
    <v>-5.8309999999999994E-3</v>
    <v>469000</v>
  </rv>
  <rv s="2">
    <v>470</v>
  </rv>
  <rv s="0">
    <v>https://www.bing.com/financeapi/forcetrigger?t=bwfbr7&amp;q=BVMF%3aTFCO4&amp;form=skydnc</v>
    <v>Learn more on Bing</v>
  </rv>
  <rv s="8">
    <v>pt-BR</v>
    <v>bwfbr7</v>
    <v>268435456</v>
    <v>1</v>
    <v>Da plataforma Refinitiv</v>
    <v>14</v>
    <v>15</v>
    <v>Track &amp; Field Co S.A (BVMF:TFCO4)</v>
    <v>12</v>
    <v>16</v>
    <v>Finance</v>
    <v>5</v>
    <v>15.07</v>
    <v>8.24</v>
    <v>BVMF</v>
    <v>65492860</v>
    <v>14.85</v>
    <v>1988</v>
    <v>14.46</v>
    <v>1.0880000000000001</v>
    <v>B3 - Brazil Stock Exchange</v>
    <v>957505613</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14.55</v>
    <v>1145</v>
    <v>45838.698101851849</v>
    <v>472</v>
    <v>326110</v>
    <v>BRL</v>
    <v>Track &amp; Field Co S.A</v>
    <v>Track &amp; Field Co S.A</v>
    <v>14.49</v>
    <v>14.62</v>
    <v>Rua Cipriano Barata 456 3 andar, Ipiranga, OSASCO, SAO PAULO, 04.205-000 BR</v>
    <v>Specialty Retailers</v>
    <v>TFCO4</v>
    <v>Ações</v>
    <v>Track &amp; Field Co S.A (BVMF:TFCO4)</v>
    <v>7.0000000000000007E-2</v>
    <v>4.8110000000000002E-3</v>
    <v>68900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13.79</v>
    <v>2001</v>
    <v>13.41</v>
    <v>0.88970000000000005</v>
    <v>B3 - Brazil Stock Exchange</v>
    <v>26418532640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13.51</v>
    <v>1846</v>
    <v>45838.698311492968</v>
    <v>475</v>
    <v>7045880</v>
    <v>BRL</v>
    <v>Eneva S.A.</v>
    <v>Eneva S.A.</v>
    <v>13.41</v>
    <v>13.67</v>
    <v>Praia de Botafogo n 501, Bloco I, 2 e 4 andares, Botafogo, BOTAFOGO, RIO DE JANEIRO, 22.250-040 BR</v>
    <v>Electrical Utilities &amp; IPPs</v>
    <v>ENEV3</v>
    <v>Ações</v>
    <v>Eneva S.A. (BVMF:ENEV3)</v>
    <v>0.16</v>
    <v>1.1842999999999999E-2</v>
    <v>3475200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6.92</v>
    <v>1999</v>
    <v>6.55</v>
    <v>2.1941999999999999</v>
    <v>B3 - Brazil Stock Exchange</v>
    <v>2451413874</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6.83</v>
    <v>5140</v>
    <v>45838.698282546095</v>
    <v>478</v>
    <v>948630</v>
    <v>BRL</v>
    <v>LIGHT S.A.</v>
    <v>LIGHT S.A.</v>
    <v>6.89</v>
    <v>6.58</v>
    <v>Av.Marechal Floriano,168, Centro, RIO DE JANEIRO, RIO DE JANEIRO, 20.080-002 BR</v>
    <v>Electrical Utilities &amp; IPPs</v>
    <v>LIGT3</v>
    <v>Ações</v>
    <v>LIGHT S.A. (BVMF:LIGT3)</v>
    <v>-0.25</v>
    <v>-3.6602999999999997E-2</v>
    <v>400100</v>
  </rv>
  <rv s="2">
    <v>479</v>
  </rv>
  <rv s="0">
    <v>https://www.bing.com/financeapi/forcetrigger?t=bxgv1h&amp;q=BVMF%3aCSED3&amp;form=skydnc</v>
    <v>Learn more on Bing</v>
  </rv>
  <rv s="8">
    <v>pt-BR</v>
    <v>bxgv1h</v>
    <v>268435456</v>
    <v>1</v>
    <v>Da plataforma Refinitiv</v>
    <v>14</v>
    <v>15</v>
    <v>CRUZEIRO DO SUL EDUCACIONAL S.A. (BVMF:CSED3)</v>
    <v>12</v>
    <v>16</v>
    <v>Finance</v>
    <v>5</v>
    <v>5.44</v>
    <v>2.56</v>
    <v>BVMF</v>
    <v>364542500</v>
    <v>5.17</v>
    <v>1970</v>
    <v>5.04</v>
    <v>2.3512</v>
    <v>B3 - Brazil Stock Exchange</v>
    <v>1862812175</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5.0999999999999996</v>
    <v>7668</v>
    <v>45838.69803240741</v>
    <v>481</v>
    <v>268240</v>
    <v>BRL</v>
    <v>CRUZEIRO DO SUL EDUCACIONAL S.A.</v>
    <v>CRUZEIRO DO SUL EDUCACIONAL S.A.</v>
    <v>5.16</v>
    <v>5.1100000000000003</v>
    <v>Rua Cubatao, 320 3, 8 e 9 Andar, Vila Mariana, SAO PAULO, SAO PAULO, 04.013-001 BR</v>
    <v>School, College &amp; University</v>
    <v>CSED3</v>
    <v>Ações</v>
    <v>CRUZEIRO DO SUL EDUCACIONAL S.A. (BVMF:CSED3)</v>
    <v>0.01</v>
    <v>1.9610000000000001E-3</v>
    <v>169400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27.57</v>
    <v>19.739999999999998</v>
    <v>BVMF</v>
    <v>513163700</v>
    <v>27.29</v>
    <v>2005</v>
    <v>26.79</v>
    <v>1.0015000000000001</v>
    <v>B3 - Brazil Stock Exchange</v>
    <v>13875950000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26.83</v>
    <v>8500</v>
    <v>45838.698310185187</v>
    <v>484</v>
    <v>4005000</v>
    <v>BRL</v>
    <v>Multiplan Empreendimentos Imobiliários S.A.</v>
    <v>Multiplan Empreendimentos Imobiliários S.A.</v>
    <v>26.85</v>
    <v>27</v>
    <v>Av Das Americas 04200 Bloco 2 Salas 101 A 104 112 A 116 401 A 416 E 501 E Bloco 9 Ala B Salas 212 A 216, Barra Da Tijuca, RIO DE JANEIRO, RIO DE JANEIRO, 22.640-102 BR</v>
    <v>Real Estate Operations</v>
    <v>MULT3</v>
    <v>Ações</v>
    <v>Multiplan Empreendimentos Imobiliários S.A. (BVMF:MULT3)</v>
    <v>0.17</v>
    <v>6.3360000000000005E-3</v>
    <v>2269800</v>
  </rv>
  <rv s="2">
    <v>485</v>
  </rv>
  <rv s="0">
    <v>https://www.bing.com/financeapi/forcetrigger?t=c5nr77&amp;q=BVMF%3aAURE3&amp;form=skydnc</v>
    <v>Learn more on Bing</v>
  </rv>
  <rv s="9">
    <v>pt-BR</v>
    <v>c5nr77</v>
    <v>268435456</v>
    <v>1</v>
    <v>Da plataforma Refinitiv</v>
    <v>17</v>
    <v>18</v>
    <v>Auren Energia S.A. (BVMF:AURE3)</v>
    <v>12</v>
    <v>19</v>
    <v>Finance</v>
    <v>5</v>
    <v>12.5</v>
    <v>7.29</v>
    <v>BVMF</v>
    <v>1050378000</v>
    <v>10.15</v>
    <v>2017</v>
    <v>9.9</v>
    <v>0.47499999999999998</v>
    <v>B3 - Brazil Stock Exchange</v>
    <v>10608817800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9.98</v>
    <v>45838.698252314818</v>
    <v>487</v>
    <v>4348850</v>
    <v>BRL</v>
    <v>Auren Energia S.A.</v>
    <v>Auren Energia S.A.</v>
    <v>9.9</v>
    <v>10.1</v>
    <v>Av. dra Ruth Cardoso, 8.501 2 andar, sala 11, Pinheiros, SAO PAULO, SAO PAULO, 05.425-070 BR</v>
    <v>Electrical Utilities &amp; IPPs</v>
    <v>AURE3</v>
    <v>Ações</v>
    <v>Auren Energia S.A. (BVMF:AURE3)</v>
    <v>0.12</v>
    <v>1.2024E-2</v>
    <v>832900</v>
  </rv>
  <rv s="2">
    <v>488</v>
  </rv>
  <rv s="0">
    <v>https://www.bing.com/financeapi/forcetrigger?t=apni6h&amp;q=BVMF%3aTUPY3&amp;form=skydnc</v>
    <v>Learn more on Bing</v>
  </rv>
  <rv s="8">
    <v>pt-BR</v>
    <v>apni6h</v>
    <v>268435456</v>
    <v>1</v>
    <v>Da plataforma Refinitiv</v>
    <v>14</v>
    <v>15</v>
    <v>TUPY S.A. (BVMF:TUPY3)</v>
    <v>12</v>
    <v>16</v>
    <v>Finance</v>
    <v>5</v>
    <v>26.74</v>
    <v>16.989999999999998</v>
    <v>BVMF</v>
    <v>144177500</v>
    <v>18.37</v>
    <v>1938</v>
    <v>18.100000000000001</v>
    <v>0.50849999999999995</v>
    <v>B3 - Brazil Stock Exchange</v>
    <v>2621146950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18.2</v>
    <v>6451</v>
    <v>45838.698125000003</v>
    <v>490</v>
    <v>405670</v>
    <v>BRL</v>
    <v>TUPY S.A.</v>
    <v>TUPY S.A.</v>
    <v>18.28</v>
    <v>18.18</v>
    <v>Rua Albano Schmidt, 3400, Boa Vista, JOINVILLE, SANTA CATARINA, 89.227-901 BR</v>
    <v>Automobiles &amp; Auto Parts</v>
    <v>TUPY3</v>
    <v>Ações</v>
    <v>TUPY S.A. (BVMF:TUPY3)</v>
    <v>-0.02</v>
    <v>-1.0989999999999999E-3</v>
    <v>167100</v>
  </rv>
  <rv s="2">
    <v>491</v>
  </rv>
  <rv s="0">
    <v>https://www.bing.com/financeapi/forcetrigger?t=apnbh7&amp;q=BVMF%3aSCAR3&amp;form=skydnc</v>
    <v>Learn more on Bing</v>
  </rv>
  <rv s="9">
    <v>pt-BR</v>
    <v>apnbh7</v>
    <v>268435456</v>
    <v>1</v>
    <v>Da plataforma Refinitiv</v>
    <v>17</v>
    <v>18</v>
    <v>São Carlos Empreendimentos e Participações S.A. (BVMF:SCAR3)</v>
    <v>12</v>
    <v>19</v>
    <v>Finance</v>
    <v>5</v>
    <v>22.75</v>
    <v>15.32</v>
    <v>BVMF</v>
    <v>57737320</v>
    <v>17.03</v>
    <v>1985</v>
    <v>16.95</v>
    <v>0.95740000000000003</v>
    <v>B3 - Brazil Stock Exchange</v>
    <v>981534440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17.04</v>
    <v>45838.695532407408</v>
    <v>493</v>
    <v>18990</v>
    <v>BRL</v>
    <v>São Carlos Empreendimentos e Participações S.A.</v>
    <v>São Carlos Empreendimentos e Participações S.A.</v>
    <v>17.03</v>
    <v>17</v>
    <v>Rua Dr. Eduardo de Souza Aranha, 153, 12 andar, Vila Nova Conceicao, SAO PAULO, SAO PAULO, 04.543-904 BR</v>
    <v>Real Estate Operations</v>
    <v>SCAR3</v>
    <v>Ações</v>
    <v>São Carlos Empreendimentos e Participações S.A. (BVMF:SCAR3)</v>
    <v>-0.04</v>
    <v>-2.3470000000000001E-3</v>
    <v>4900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562886500</v>
    <v>4.1100000000000003</v>
    <v>1997</v>
    <v>4.01</v>
    <v>1.1652</v>
    <v>B3 - Brazil Stock Exchange</v>
    <v>2262803729</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4.0599999999999996</v>
    <v>1229</v>
    <v>45838.698289976564</v>
    <v>496</v>
    <v>6043580</v>
    <v>BRL</v>
    <v>LWSA S/A</v>
    <v>LWSA S/A</v>
    <v>4.0599999999999996</v>
    <v>4.0199999999999996</v>
    <v>Rua Itapaiuna, 2.434, Vila Andrade, SAO PAULO, SAO PAULO, 05.707-001 BR</v>
    <v>Software &amp; IT Services</v>
    <v>LWSA3</v>
    <v>Ações</v>
    <v>LWSA S/A (BVMF:LWSA3)</v>
    <v>-0.04</v>
    <v>-9.8519999999999996E-3</v>
    <v>2148700</v>
  </rv>
  <rv s="2">
    <v>497</v>
  </rv>
  <rv s="0">
    <v>https://www.bing.com/financeapi/forcetrigger?t=apmvur&amp;q=BVMF%3aLPSB3&amp;form=skydnc</v>
    <v>Learn more on Bing</v>
  </rv>
  <rv s="8">
    <v>pt-BR</v>
    <v>apmvur</v>
    <v>268435456</v>
    <v>1</v>
    <v>Da plataforma Refinitiv</v>
    <v>14</v>
    <v>15</v>
    <v>LPS BRASIL - CONSULTORIA DE IMOVEIS S.A. (BVMF:LPSB3)</v>
    <v>12</v>
    <v>16</v>
    <v>Finance</v>
    <v>5</v>
    <v>2.2000000000000002</v>
    <v>1.04</v>
    <v>BVMF</v>
    <v>147554600</v>
    <v>1.7</v>
    <v>2006</v>
    <v>1.62</v>
    <v>1.2806999999999999</v>
    <v>B3 - Brazil Stock Exchange</v>
    <v>243465090</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1.67</v>
    <v>336</v>
    <v>45838.697326388887</v>
    <v>499</v>
    <v>72740</v>
    <v>BRL</v>
    <v>LPS BRASIL - CONSULTORIA DE IMOVEIS S.A.</v>
    <v>LPS BRASIL - CONSULTORIA DE IMOVEIS S.A.</v>
    <v>1.63</v>
    <v>1.65</v>
    <v>Rua Estados Unidos,2000, Jardim America, SAO PAULO, SAO PAULO, 01.427-002 BR</v>
    <v>Real Estate Operations</v>
    <v>LPSB3</v>
    <v>Ações</v>
    <v>LPS BRASIL - CONSULTORIA DE IMOVEIS S.A. (BVMF:LPSB3)</v>
    <v>-0.02</v>
    <v>-1.1976000000000001E-2</v>
    <v>44600</v>
  </rv>
  <rv s="2">
    <v>500</v>
  </rv>
  <rv s="0">
    <v>https://www.bing.com/financeapi/forcetrigger?t=btotsm&amp;q=BVMF%3aMTRE3&amp;form=skydnc</v>
    <v>Learn more on Bing</v>
  </rv>
  <rv s="8">
    <v>pt-BR</v>
    <v>btotsm</v>
    <v>268435456</v>
    <v>1</v>
    <v>Da plataforma Refinitiv</v>
    <v>14</v>
    <v>15</v>
    <v>MITRE REALTY EMPREENDIMENTOS E PARTICIPAÇÕES S.A. (BVMF:MTRE3)</v>
    <v>12</v>
    <v>16</v>
    <v>Finance</v>
    <v>5</v>
    <v>4.32</v>
    <v>2.61</v>
    <v>BVMF</v>
    <v>105774800</v>
    <v>3.97</v>
    <v>2005</v>
    <v>3.88</v>
    <v>2.0101</v>
    <v>B3 - Brazil Stock Exchange</v>
    <v>418868208</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3.87</v>
    <v>159</v>
    <v>45838.696599270312</v>
    <v>502</v>
    <v>630410</v>
    <v>BRL</v>
    <v>MITRE REALTY EMPREENDIMENTOS E PARTICIPAÇÕES S.A.</v>
    <v>MITRE REALTY EMPREENDIMENTOS E PARTICIPAÇÕES S.A.</v>
    <v>3.9</v>
    <v>3.96</v>
    <v>Alameda Santos, 700, 5 Andar, Jardim Paulista, SAO PAULO, SAO PAULO, 01.418-002 BR</v>
    <v>Homebuilding &amp; Construction Supplies</v>
    <v>MTRE3</v>
    <v>Ações</v>
    <v>MITRE REALTY EMPREENDIMENTOS E PARTICIPAÇÕES S.A. (BVMF:MTRE3)</v>
    <v>0.09</v>
    <v>2.3256000000000002E-2</v>
    <v>157500</v>
  </rv>
  <rv s="2">
    <v>503</v>
  </rv>
  <rv s="0">
    <v>http://zh.wikipedia.org/wiki/巴西航空工业公司</v>
    <v>Wikipedia</v>
  </rv>
  <rv s="10">
    <v>36</v>
    <v>505</v>
  </rv>
  <rv s="11">
    <v>25</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20</v>
    <v>21</v>
    <v>EMBRAER S.A. (BVMF:EMBR3)</v>
    <v>23</v>
    <v>24</v>
    <v>Finance</v>
    <v>5</v>
    <v>79.75</v>
    <v>35.659999999999997</v>
    <v>BVMF</v>
    <v>740465000</v>
    <v>77.58</v>
    <v>2005</v>
    <v>74.64</v>
    <v>0.46989999999999998</v>
    <v>B3 - Brazil Stock Exchange</v>
    <v>57186111950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74.64</v>
    <v>20923</v>
    <v>45838.698275462964</v>
    <v>507</v>
    <v>508</v>
    <v>5330640</v>
    <v>BRL</v>
    <v>EMBRAER S.A.</v>
    <v>EMBRAER S.A.</v>
    <v>74.650000000000006</v>
    <v>77.23</v>
    <v>Av Brigadeiro Faria Lima 2170, Putim, SAO JOSE DOS CAMPOS, SAO PAULO, 12.227-901 BR</v>
    <v>Aerospace &amp; Defense</v>
    <v>EMBR3</v>
    <v>Ações</v>
    <v>EMBRAER S.A. (BVMF:EMBR3)</v>
    <v>2.59</v>
    <v>3.4700000000000002E-2</v>
    <v>2571100</v>
  </rv>
  <rv s="2">
    <v>509</v>
  </rv>
  <rv s="0">
    <v>https://www.bing.com/financeapi/forcetrigger?t=apmi2w&amp;q=BVMF%3aENGI4&amp;form=skydnc</v>
    <v>Learn more on Bing</v>
  </rv>
  <rv s="8">
    <v>pt-BR</v>
    <v>apmi2w</v>
    <v>268435456</v>
    <v>1</v>
    <v>Da plataforma Refinitiv</v>
    <v>14</v>
    <v>15</v>
    <v>ENERGISA S.A. (BVMF:ENGI4)</v>
    <v>12</v>
    <v>16</v>
    <v>Finance</v>
    <v>5</v>
    <v>9.07</v>
    <v>5.97</v>
    <v>BVMF</v>
    <v>2289425000</v>
    <v>9</v>
    <v>1998</v>
    <v>8.77</v>
    <v>0.96140000000000003</v>
    <v>B3 - Brazil Stock Exchange</v>
    <v>23070210000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8.86</v>
    <v>17000</v>
    <v>45838.697592592594</v>
    <v>511</v>
    <v>3400</v>
    <v>BRL</v>
    <v>ENERGISA S.A.</v>
    <v>ENERGISA S.A.</v>
    <v>8.8699999999999992</v>
    <v>8.9700000000000006</v>
    <v>Praca Rui Barbosa,N 80(Parte), Centro, CATAGUASES, MINAS GERAIS, 36.770-901 BR</v>
    <v>Electrical Utilities &amp; IPPs</v>
    <v>ENGI4</v>
    <v>Ações</v>
    <v>ENERGISA S.A. (BVMF:ENGI4)</v>
    <v>0.11</v>
    <v>1.2415000000000001E-2</v>
    <v>2400</v>
  </rv>
  <rv s="2">
    <v>512</v>
  </rv>
  <rv s="0">
    <v>https://www.bing.com/financeapi/forcetrigger?t=aplwhw&amp;q=BVMF%3aANIM3&amp;form=skydnc</v>
    <v>Learn more on Bing</v>
  </rv>
  <rv s="8">
    <v>pt-BR</v>
    <v>aplwhw</v>
    <v>268435456</v>
    <v>1</v>
    <v>Da plataforma Refinitiv</v>
    <v>14</v>
    <v>15</v>
    <v>Ânima Holding S/A (BVMF:ANIM3)</v>
    <v>12</v>
    <v>16</v>
    <v>Finance</v>
    <v>5</v>
    <v>4.5</v>
    <v>1.46</v>
    <v>BVMF</v>
    <v>403868800</v>
    <v>4.2699999999999996</v>
    <v>2007</v>
    <v>4.0999999999999996</v>
    <v>2.8243</v>
    <v>B3 - Brazil Stock Exchange</v>
    <v>1692210272</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4.1500000000000004</v>
    <v>4046</v>
    <v>45838.698287037034</v>
    <v>514</v>
    <v>4662390</v>
    <v>BRL</v>
    <v>Ânima Holding S/A</v>
    <v>Ânima Holding S/A</v>
    <v>4.16</v>
    <v>4.1900000000000004</v>
    <v>Rua Harmonia, 1250 9 andar, Sumarezinho, SAO PAULO, SAO PAULO, 05.435-001 BR</v>
    <v>Miscellaneous Educational Service Providers</v>
    <v>ANIM3</v>
    <v>Ações</v>
    <v>Ânima Holding S/A (BVMF:ANIM3)</v>
    <v>0.04</v>
    <v>9.639E-3</v>
    <v>1658000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42.35</v>
    <v>2008</v>
    <v>41.51</v>
    <v>1.2801</v>
    <v>B3 - Brazil Stock Exchange</v>
    <v>37772028868</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41.87</v>
    <v>90</v>
    <v>45838.698301457815</v>
    <v>517</v>
    <v>11981950</v>
    <v>BRL</v>
    <v>PRIO S.A.</v>
    <v>PRIO S.A.</v>
    <v>42.01</v>
    <v>42.14</v>
    <v>Pr De Botafogo 370 : 1 Andar Parte;, Botafogo, RIO DE JANEIRO, RIO DE JANEIRO, 22.250-040 BR</v>
    <v>Oil &amp; Gas</v>
    <v>PRIO3</v>
    <v>Ações</v>
    <v>PRIO S.A. (BVMF:PRIO3)</v>
    <v>0.27</v>
    <v>6.4489999999999999E-3</v>
    <v>2326700</v>
  </rv>
  <rv s="2">
    <v>518</v>
  </rv>
  <rv s="0">
    <v>https://www.bing.com/financeapi/forcetrigger?t=apn2c7&amp;q=BVMF%3aODPV3&amp;form=skydnc</v>
    <v>Learn more on Bing</v>
  </rv>
  <rv s="8">
    <v>pt-BR</v>
    <v>apn2c7</v>
    <v>268435456</v>
    <v>1</v>
    <v>Da plataforma Refinitiv</v>
    <v>14</v>
    <v>15</v>
    <v>ODONTOPREV S.A. (BVMF:ODPV3)</v>
    <v>12</v>
    <v>16</v>
    <v>Finance</v>
    <v>5</v>
    <v>11.85</v>
    <v>9.5</v>
    <v>BVMF</v>
    <v>552495700</v>
    <v>11.77</v>
    <v>1987</v>
    <v>11.48</v>
    <v>0.49519999999999997</v>
    <v>B3 - Brazil Stock Exchange</v>
    <v>6497349432</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11.61</v>
    <v>2026</v>
    <v>45838.697893518518</v>
    <v>520</v>
    <v>1926560</v>
    <v>BRL</v>
    <v>ODONTOPREV S.A.</v>
    <v>ODONTOPREV S.A.</v>
    <v>11.6</v>
    <v>11.76</v>
    <v>Alameda Araguaia, 2104 - 21 Andar, Alphaville, BARUERI, SAO PAULO, 06.460-040 BR</v>
    <v>Healthcare Providers &amp; Services</v>
    <v>ODPV3</v>
    <v>Ações</v>
    <v>ODONTOPREV S.A. (BVMF:ODPV3)</v>
    <v>0.15</v>
    <v>1.2920000000000001E-2</v>
    <v>294400</v>
  </rv>
  <rv s="2">
    <v>521</v>
  </rv>
  <rv s="0">
    <v>https://www.bing.com/financeapi/forcetrigger?t=c1w2k2&amp;q=BVMF%3aRECV3&amp;form=skydnc</v>
    <v>Learn more on Bing</v>
  </rv>
  <rv s="8">
    <v>pt-BR</v>
    <v>c1w2k2</v>
    <v>268435456</v>
    <v>1</v>
    <v>Da plataforma Refinitiv</v>
    <v>14</v>
    <v>15</v>
    <v>PetroRecôncavo S.A. (BVMF:RECV3)</v>
    <v>12</v>
    <v>16</v>
    <v>Finance</v>
    <v>5</v>
    <v>19.47</v>
    <v>11.88</v>
    <v>BVMF</v>
    <v>293472100</v>
    <v>14.36</v>
    <v>2000</v>
    <v>14.21</v>
    <v>0.83779999999999999</v>
    <v>B3 - Brazil Stock Exchange</v>
    <v>4199585751</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14.33</v>
    <v>532</v>
    <v>45838.698078703703</v>
    <v>523</v>
    <v>3158540</v>
    <v>BRL</v>
    <v>PetroRecôncavo S.A.</v>
    <v>PetroRecôncavo S.A.</v>
    <v>14.33</v>
    <v>14.31</v>
    <v>Est Do Vinte Mil Km 3,5 Estacao De Sao Roque, Mata De Sao Joao, MATA DE SAO JOAO, BAHIA, 48.280-000 BR</v>
    <v>Oil &amp; Gas</v>
    <v>RECV3</v>
    <v>Ações</v>
    <v>PetroRecôncavo S.A. (BVMF:RECV3)</v>
    <v>-0.02</v>
    <v>-1.3960000000000001E-3</v>
    <v>700500</v>
  </rv>
  <rv s="2">
    <v>524</v>
  </rv>
  <rv s="0">
    <v>https://www.bing.com/financeapi/forcetrigger?t=btrmim&amp;q=BVMF%3aMDNE3&amp;form=skydnc</v>
    <v>Learn more on Bing</v>
  </rv>
  <rv s="8">
    <v>pt-BR</v>
    <v>btrmim</v>
    <v>268435456</v>
    <v>1</v>
    <v>Da plataforma Refinitiv</v>
    <v>14</v>
    <v>15</v>
    <v>Moura Dubeux Engenharia S/A (BVMF:MDNE3)</v>
    <v>12</v>
    <v>16</v>
    <v>Finance</v>
    <v>5</v>
    <v>23.85</v>
    <v>9.74</v>
    <v>BVMF</v>
    <v>84909370</v>
    <v>22.9</v>
    <v>1987</v>
    <v>21.67</v>
    <v>1.8667</v>
    <v>B3 - Brazil Stock Exchange</v>
    <v>1937631823</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21.89</v>
    <v>1388</v>
    <v>45838.698148148149</v>
    <v>526</v>
    <v>822690</v>
    <v>BRL</v>
    <v>Moura Dubeux Engenharia S/A</v>
    <v>Moura Dubeux Engenharia S/A</v>
    <v>22</v>
    <v>22.82</v>
    <v>Av Engenheiro Domingos Ferreira 467 13 Andar Parte, Pina, RECIFE, PERNAMBUCO, 51.011-050 BR</v>
    <v>Real Estate Operations</v>
    <v>MDNE3</v>
    <v>Ações</v>
    <v>Moura Dubeux Engenharia S/A (BVMF:MDNE3)</v>
    <v>0.93</v>
    <v>4.2485000000000002E-2</v>
    <v>470600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0.99</v>
    <v>1954</v>
    <v>0.94</v>
    <v>1.3727</v>
    <v>B3 - Brazil Stock Exchange</v>
    <v>45158910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0.96</v>
    <v>106</v>
    <v>45838.697685185187</v>
    <v>529</v>
    <v>2509250</v>
    <v>BRL</v>
    <v>RECRUSUL S.A.</v>
    <v>RECRUSUL S.A.</v>
    <v>0.97</v>
    <v>0.97</v>
    <v>Av. Luiz Pasteur, 1020, Tres Portos, SAPUCAIA DO SUL, RIO GRANDE DO SUL, 93.212-360 BR</v>
    <v>Automobiles &amp; Auto Parts</v>
    <v>RCSL4</v>
    <v>Ações</v>
    <v>RECRUSUL S.A. (BVMF:RCSL4)</v>
    <v>0.01</v>
    <v>1.0417000000000001E-2</v>
    <v>2240900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4.01</v>
    <v>1999</v>
    <v>3.99</v>
    <v>1.7922</v>
    <v>B3 - Brazil Stock Exchange</v>
    <v>175560000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3.99</v>
    <v>3380</v>
    <v>45838.689498217187</v>
    <v>532</v>
    <v>12260</v>
    <v>BRL</v>
    <v>TPI - Triunfo Participações e Investimentos S.A.</v>
    <v>TPI - Triunfo Participações e Investimentos S.A.</v>
    <v>3.99</v>
    <v>3.99</v>
    <v>Rua Olimpiadas, 205,14 andar, Vila Olimpia, SAO PAULO, SAO PAULO, 04.551-000 BR</v>
    <v>Transport Infrastructure</v>
    <v>TPIS3</v>
    <v>Ações</v>
    <v>TPI - Triunfo Participações e Investimentos S.A. (BVMF:TPIS3)</v>
    <v>0</v>
    <v>0</v>
    <v>1300</v>
  </rv>
  <rv s="2">
    <v>533</v>
  </rv>
  <rv s="0">
    <v>https://www.bing.com/financeapi/forcetrigger?t=apml6h&amp;q=BVMF%3aTASA4&amp;form=skydnc</v>
    <v>Learn more on Bing</v>
  </rv>
  <rv s="8">
    <v>pt-BR</v>
    <v>apml6h</v>
    <v>268435456</v>
    <v>1</v>
    <v>Da plataforma Refinitiv</v>
    <v>14</v>
    <v>15</v>
    <v>Taurus Armas S.A (BVMF:TASA4)</v>
    <v>12</v>
    <v>16</v>
    <v>Finance</v>
    <v>5</v>
    <v>11.36</v>
    <v>6.7</v>
    <v>BVMF</v>
    <v>139297900</v>
    <v>6.93</v>
    <v>1939</v>
    <v>6.83</v>
    <v>1.0967</v>
    <v>B3 - Brazil Stock Exchange</v>
    <v>966871200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6.82</v>
    <v>3286</v>
    <v>45838.69828436328</v>
    <v>535</v>
    <v>233660</v>
    <v>BRL</v>
    <v>Taurus Armas S.A</v>
    <v>Taurus Armas S.A</v>
    <v>6.91</v>
    <v>6.9</v>
    <v>Avenida Sao Borja 2181/Predio A, Fazenda Sao Borja, SAO LEOPOLDO, RIO GRANDE DO SUL, 93.035-411 BR</v>
    <v>Aerospace &amp; Defense</v>
    <v>TASA4</v>
    <v>Ações</v>
    <v>Taurus Armas S.A (BVMF:TASA4)</v>
    <v>0.08</v>
    <v>1.1730000000000001E-2</v>
    <v>116800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3.3</v>
    <v>BVMF</v>
    <v>7716400</v>
    <v>4.16</v>
    <v>1979</v>
    <v>4.03</v>
    <v>0.86170000000000002</v>
    <v>B3 - Brazil Stock Exchange</v>
    <v>50052510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4.12</v>
    <v>1460</v>
    <v>45838.693842592591</v>
    <v>538</v>
    <v>1560</v>
    <v>BRL</v>
    <v>Sansuy S/A Indústria de Plásticos em Recuperação Judicial</v>
    <v>Sansuy S/A Indústria de Plásticos em Recuperação Judicial</v>
    <v>4.12</v>
    <v>4.03</v>
    <v>Rua dos Plasticos, 761, Area Indl. Leste, CAMACARI, BAHIA, 42.810-240 BR</v>
    <v>Chemicals</v>
    <v>SNSY5</v>
    <v>Ações</v>
    <v>Sansuy S/A Indústria de Plásticos em Recuperação Judicial (BVMF:SNSY5)</v>
    <v>-0.09</v>
    <v>-2.1845E-2</v>
    <v>1800</v>
  </rv>
  <rv s="2">
    <v>539</v>
  </rv>
  <rv s="0">
    <v>https://www.bing.com/financeapi/forcetrigger?t=bvjsa2&amp;q=BVMF%3aLAVV3&amp;form=skydnc</v>
    <v>Learn more on Bing</v>
  </rv>
  <rv s="8">
    <v>pt-BR</v>
    <v>bvjsa2</v>
    <v>268435456</v>
    <v>1</v>
    <v>Da plataforma Refinitiv</v>
    <v>14</v>
    <v>15</v>
    <v>Lavvi Empreendimentos Imobiliários S/A (BVMF:LAVV3)</v>
    <v>12</v>
    <v>16</v>
    <v>Finance</v>
    <v>5</v>
    <v>12.45</v>
    <v>6.62</v>
    <v>BVMF</v>
    <v>195434400</v>
    <v>12.45</v>
    <v>2016</v>
    <v>12.1</v>
    <v>1.1620999999999999</v>
    <v>B3 - Brazil Stock Exchange</v>
    <v>2417523528</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12.1</v>
    <v>16</v>
    <v>45838.697905092595</v>
    <v>541</v>
    <v>412530</v>
    <v>BRL</v>
    <v>Lavvi Empreendimentos Imobiliários S/A</v>
    <v>Lavvi Empreendimentos Imobiliários S/A</v>
    <v>12.25</v>
    <v>12.37</v>
    <v>Avenida Angelica, 2346 8 andar CJ 84, Bairro Consolacao, Sao Paulo, SAO PAULO, 01.228-200 BR</v>
    <v>Real Estate Operations</v>
    <v>LAVV3</v>
    <v>Ações</v>
    <v>Lavvi Empreendimentos Imobiliários S/A (BVMF:LAVV3)</v>
    <v>0.27</v>
    <v>2.2313999999999997E-2</v>
    <v>198000</v>
  </rv>
  <rv s="2">
    <v>542</v>
  </rv>
  <rv s="0">
    <v>https://www.bing.com/financeapi/forcetrigger?t=aplvcw&amp;q=BVMF%3aALPA3&amp;form=skydnc</v>
    <v>Learn more on Bing</v>
  </rv>
  <rv s="8">
    <v>pt-BR</v>
    <v>aplvcw</v>
    <v>268435456</v>
    <v>1</v>
    <v>Da plataforma Refinitiv</v>
    <v>14</v>
    <v>15</v>
    <v>ALPARGATAS S.A. (BVMF:ALPA3)</v>
    <v>12</v>
    <v>16</v>
    <v>Finance</v>
    <v>5</v>
    <v>9.85</v>
    <v>5.61</v>
    <v>BVMF</v>
    <v>683062200</v>
    <v>8.76</v>
    <v>1907</v>
    <v>8.76</v>
    <v>0.95350000000000001</v>
    <v>B3 - Brazil Stock Exchange</v>
    <v>6134909000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8.73</v>
    <v>17000</v>
    <v>45838.69809027778</v>
    <v>544</v>
    <v>1959030</v>
    <v>BRL</v>
    <v>ALPARGATAS S.A.</v>
    <v>ALPARGATAS S.A.</v>
    <v>8.76</v>
    <v>8.76</v>
    <v>Av. das Nacoes Unidas, 14.261, Vila Gertrudes, SAO PAULO, SAO PAULO, 04.794-000 BR</v>
    <v>Textiles &amp; Apparel</v>
    <v>ALPA3</v>
    <v>Ações</v>
    <v>ALPARGATAS S.A. (BVMF:ALPA3)</v>
    <v>0.03</v>
    <v>3.4360000000000003E-3</v>
    <v>100</v>
  </rv>
  <rv s="2">
    <v>545</v>
  </rv>
  <rv s="0">
    <v>https://www.bing.com/financeapi/forcetrigger?t=c2vjhw&amp;q=BVMF%3aLVTC3&amp;form=skydnc</v>
    <v>Learn more on Bing</v>
  </rv>
  <rv s="9">
    <v>pt-BR</v>
    <v>c2vjhw</v>
    <v>268435456</v>
    <v>1</v>
    <v>Da plataforma Refinitiv</v>
    <v>17</v>
    <v>18</v>
    <v>Livetech da Bahia Indústria e Comércio S.A. (BVMF:LVTC3)</v>
    <v>12</v>
    <v>19</v>
    <v>Finance</v>
    <v>5</v>
    <v>4.0199999999999996</v>
    <v>2.0099999999999998</v>
    <v>BVMF</v>
    <v>63461460</v>
    <v>3.68</v>
    <v>2003</v>
    <v>3.53</v>
    <v>1.5373000000000001</v>
    <v>B3 - Brazil Stock Exchange</v>
    <v>233538172</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3.6</v>
    <v>45838.697314814817</v>
    <v>547</v>
    <v>45130</v>
    <v>BRL</v>
    <v>Livetech da Bahia Indústria e Comércio S.A.</v>
    <v>Livetech da Bahia Indústria e Comércio S.A.</v>
    <v>3.56</v>
    <v>3.68</v>
    <v>Rodovia BA-262, Ilheus x Urucuca, s/n, Km 2,8 Quadra A, Polo de Informatica, Iguape, ILHEUS, BAHIA, 45.658-335 BR</v>
    <v>Telecommunications Services</v>
    <v>LVTC3</v>
    <v>Ações</v>
    <v>Livetech da Bahia Indústria e Comércio S.A. (BVMF:LVTC3)</v>
    <v>0.08</v>
    <v>2.2221999999999999E-2</v>
    <v>7400</v>
  </rv>
  <rv s="2">
    <v>548</v>
  </rv>
  <rv s="0">
    <v>https://www.bing.com/financeapi/forcetrigger?t=aplzoc&amp;q=BVMF%3aBEEF3&amp;form=skydnc</v>
    <v>Learn more on Bing</v>
  </rv>
  <rv s="8">
    <v>pt-BR</v>
    <v>aplzoc</v>
    <v>268435456</v>
    <v>1</v>
    <v>Da plataforma Refinitiv</v>
    <v>14</v>
    <v>15</v>
    <v>Minerva S.A (BVMF:BEEF3)</v>
    <v>12</v>
    <v>16</v>
    <v>Finance</v>
    <v>5</v>
    <v>7.3</v>
    <v>3.75</v>
    <v>BVMF</v>
    <v>994130600</v>
    <v>4.87</v>
    <v>1992</v>
    <v>4.8</v>
    <v>0.78700000000000003</v>
    <v>B3 - Brazil Stock Exchange</v>
    <v>4791709492</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4.82</v>
    <v>22000</v>
    <v>45838.69809027778</v>
    <v>550</v>
    <v>11971050</v>
    <v>BRL</v>
    <v>Minerva S.A</v>
    <v>Minerva S.A</v>
    <v>4.82</v>
    <v>4.82</v>
    <v>Avenida Antonio Manco Bernardes s/n, BARRETOS, SAO PAULO, 14.781-545 BR</v>
    <v>Food &amp; Tobacco</v>
    <v>BEEF3</v>
    <v>Ações</v>
    <v>Minerva S.A (BVMF:BEEF3)</v>
    <v>0</v>
    <v>0</v>
    <v>3064100</v>
  </rv>
  <rv s="2">
    <v>551</v>
  </rv>
  <rv s="0">
    <v>https://www.bing.com/financeapi/forcetrigger?t=aplvfr&amp;q=BVMF%3aALPA4&amp;form=skydnc</v>
    <v>Learn more on Bing</v>
  </rv>
  <rv s="8">
    <v>pt-BR</v>
    <v>aplvfr</v>
    <v>268435456</v>
    <v>1</v>
    <v>Da plataforma Refinitiv</v>
    <v>14</v>
    <v>15</v>
    <v>ALPARGATAS S.A. (BVMF:ALPA4)</v>
    <v>12</v>
    <v>16</v>
    <v>Finance</v>
    <v>5</v>
    <v>9.65</v>
    <v>5.86</v>
    <v>BVMF</v>
    <v>683062200</v>
    <v>9.4700000000000006</v>
    <v>1907</v>
    <v>9.19</v>
    <v>0.95350000000000001</v>
    <v>B3 - Brazil Stock Exchange</v>
    <v>6134909000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9.23</v>
    <v>17000</v>
    <v>45838.698148148149</v>
    <v>553</v>
    <v>1959030</v>
    <v>BRL</v>
    <v>ALPARGATAS S.A.</v>
    <v>ALPARGATAS S.A.</v>
    <v>9.27</v>
    <v>9.36</v>
    <v>Av. das Nacoes Unidas, 14.261, Vila Gertrudes, SAO PAULO, SAO PAULO, 04.794-000 BR</v>
    <v>Textiles &amp; Apparel</v>
    <v>ALPA4</v>
    <v>Ações</v>
    <v>ALPARGATAS S.A. (BVMF:ALPA4)</v>
    <v>0.13</v>
    <v>1.4085E-2</v>
    <v>374100</v>
  </rv>
  <rv s="2">
    <v>554</v>
  </rv>
  <rv s="0">
    <v>https://www.bing.com/financeapi/forcetrigger?t=c2tzrw&amp;q=BVMF%3aMLAS3&amp;form=skydnc</v>
    <v>Learn more on Bing</v>
  </rv>
  <rv s="8">
    <v>pt-BR</v>
    <v>c2tzrw</v>
    <v>268435456</v>
    <v>1</v>
    <v>Da plataforma Refinitiv</v>
    <v>14</v>
    <v>15</v>
    <v>GRUPO MULTI S.A. (BVMF:MLAS3)</v>
    <v>12</v>
    <v>16</v>
    <v>Finance</v>
    <v>5</v>
    <v>2.3199999999999998</v>
    <v>0.99</v>
    <v>BVMF</v>
    <v>820539200</v>
    <v>1.0900000000000001</v>
    <v>1988</v>
    <v>1.06</v>
    <v>1.8386</v>
    <v>B3 - Brazil Stock Exchange</v>
    <v>877976944</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1.08</v>
    <v>5000</v>
    <v>45838.698302835153</v>
    <v>556</v>
    <v>1506750</v>
    <v>BRL</v>
    <v>GRUPO MULTI S.A.</v>
    <v>GRUPO MULTI S.A.</v>
    <v>1.08</v>
    <v>1.07</v>
    <v>Avenida Brigadeiro Faria Lima, n 1811 15 andar, Jardim America, SAO PAULO, SAO PAULO, 01.452-000 BR</v>
    <v>Computers, Phones &amp; Household Electronics</v>
    <v>MLAS3</v>
    <v>Ações</v>
    <v>GRUPO MULTI S.A. (BVMF:MLAS3)</v>
    <v>-0.01</v>
    <v>-9.2589999999999999E-3</v>
    <v>774800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18.95</v>
    <v>1951</v>
    <v>18.48</v>
    <v>0.94989999999999997</v>
    <v>B3 - Brazil Stock Exchange</v>
    <v>1798246000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18.7</v>
    <v>2378</v>
    <v>45838.697557870371</v>
    <v>559</v>
    <v>53150</v>
    <v>BRL</v>
    <v>Eucatex S.A. Industria e Comercio</v>
    <v>Eucatex S.A. Industria e Comercio</v>
    <v>18.829999999999998</v>
    <v>18.57</v>
    <v>Av. Juscelino Kubitschek, 1830 11 andar,Torre I, Vila Olimpia, SAO PAULO, SAO PAULO, 04.543-900 BR</v>
    <v>Paper &amp; Forest Products</v>
    <v>EUCA4</v>
    <v>Ações</v>
    <v>Eucatex S.A. Industria e Comercio (BVMF:EUCA4)</v>
    <v>-0.13</v>
    <v>-6.9520000000000007E-3</v>
    <v>26700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14.37</v>
    <v>2007</v>
    <v>14.04</v>
    <v>1.5043</v>
    <v>B3 - Brazil Stock Exchange</v>
    <v>77978805000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14.12</v>
    <v>2135</v>
    <v>45838.697995543749</v>
    <v>562</v>
    <v>35128720</v>
    <v>BRL</v>
    <v>B3 S.A - Brasil, Bolsa, Balcão</v>
    <v>B3 S.A - Brasil, Bolsa, Balcão</v>
    <v>14.06</v>
    <v>14.37</v>
    <v>Praca Antonio Prado, 48 7 andar, Centro, SAO PAULO, SAO PAULO, 01.010-901 BR</v>
    <v>Investment Banking &amp; Investment Services</v>
    <v>B3SA3</v>
    <v>Ações</v>
    <v>B3 S.A - Brasil, Bolsa, Balcão (BVMF:B3SA3)</v>
    <v>0.25</v>
    <v>1.7704999999999999E-2</v>
    <v>8627500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1.46</v>
    <v>BVMF</v>
    <v>260509800</v>
    <v>1.6</v>
    <v>1948</v>
    <v>1.57</v>
    <v>0.83279999999999998</v>
    <v>B3 - Brazil Stock Exchange</v>
    <v>409000386</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1.58</v>
    <v>2911</v>
    <v>45838.647164351853</v>
    <v>568</v>
    <v>8390</v>
    <v>BRL</v>
    <v>BOMBRIL S.A.</v>
    <v>BOMBRIL S.A.</v>
    <v>1.58</v>
    <v>1.57</v>
    <v>Via Anchieta, KM 14,S/N, Rudge Ramos, SAO BERNARDO DO CAMPO, SAO PAULO, 09.696-000 BR</v>
    <v>Personal &amp; Household Products &amp; Services</v>
    <v>BOBR4</v>
    <v>Ações</v>
    <v>BOMBRIL S.A. (BVMF:BOBR4)</v>
    <v>-0.01</v>
    <v>-6.3290000000000004E-3</v>
    <v>2000</v>
  </rv>
  <rv s="2">
    <v>569</v>
  </rv>
  <rv s="0">
    <v>https://www.bing.com/financeapi/forcetrigger?t=apmivh&amp;q=BVMF%3aETER3&amp;form=skydnc</v>
    <v>Learn more on Bing</v>
  </rv>
  <rv s="8">
    <v>pt-BR</v>
    <v>apmivh</v>
    <v>268435456</v>
    <v>1</v>
    <v>Da plataforma Refinitiv</v>
    <v>14</v>
    <v>15</v>
    <v>Eternit S.A. - Em Recuperação Judicial (BVMF:ETER3)</v>
    <v>12</v>
    <v>16</v>
    <v>Finance</v>
    <v>5</v>
    <v>7.03</v>
    <v>3.96</v>
    <v>BVMF</v>
    <v>61776580</v>
    <v>4.04</v>
    <v>1940</v>
    <v>4</v>
    <v>1.9436</v>
    <v>B3 - Brazil Stock Exchange</v>
    <v>248341851</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4.01</v>
    <v>631</v>
    <v>45838.698182870372</v>
    <v>571</v>
    <v>66780</v>
    <v>BRL</v>
    <v>Eternit S.A. - Em Recuperação Judicial</v>
    <v>Eternit S.A. - Em Recuperação Judicial</v>
    <v>4</v>
    <v>4.0199999999999996</v>
    <v>Rua Dr. Fernandes Coelho, 85, 8 andar, Pinheiros, SAO PAULO, SAO PAULO, 05.423-040 BR</v>
    <v>Construction Materials</v>
    <v>ETER3</v>
    <v>Ações</v>
    <v>Eternit S.A. - Em Recuperação Judicial (BVMF:ETER3)</v>
    <v>0.01</v>
    <v>2.4940000000000001E-3</v>
    <v>31900</v>
  </rv>
  <rv s="2">
    <v>572</v>
  </rv>
  <rv s="0">
    <v>https://www.bing.com/financeapi/forcetrigger?t=bxgbu2&amp;q=BVMF%3aESPA3&amp;form=skydnc</v>
    <v>Learn more on Bing</v>
  </rv>
  <rv s="8">
    <v>pt-BR</v>
    <v>bxgbu2</v>
    <v>268435456</v>
    <v>1</v>
    <v>Da plataforma Refinitiv</v>
    <v>14</v>
    <v>15</v>
    <v>MPM Corpóreos S.A. (BVMF:ESPA3)</v>
    <v>12</v>
    <v>16</v>
    <v>Finance</v>
    <v>5</v>
    <v>1.2</v>
    <v>0.66</v>
    <v>BVMF</v>
    <v>361423100</v>
    <v>1.05</v>
    <v>2016</v>
    <v>1.02</v>
    <v>1.6073999999999999</v>
    <v>B3 - Brazil Stock Exchange</v>
    <v>375880024</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1.03</v>
    <v>3038</v>
    <v>45838.698131654688</v>
    <v>574</v>
    <v>302470</v>
    <v>BRL</v>
    <v>MPM Corpóreos S.A.</v>
    <v>MPM Corpóreos S.A.</v>
    <v>1.03</v>
    <v>1.04</v>
    <v>Avenida dos Eucaliptos, no 763 sala 2, Indianopolis, Sao Paulo, SAO PAULO, 04.517-050 BR</v>
    <v>Personal &amp; Household Products &amp; Services</v>
    <v>ESPA3</v>
    <v>Ações</v>
    <v>MPM Corpóreos S.A. (BVMF:ESPA3)</v>
    <v>0.01</v>
    <v>9.7090000000000006E-3</v>
    <v>71600</v>
  </rv>
  <rv s="2">
    <v>575</v>
  </rv>
  <rv s="0">
    <v>https://www.bing.com/financeapi/forcetrigger?t=c1o4r7&amp;q=BVMF%3aMATD3&amp;form=skydnc</v>
    <v>Learn more on Bing</v>
  </rv>
  <rv s="8">
    <v>pt-BR</v>
    <v>c1o4r7</v>
    <v>268435456</v>
    <v>1</v>
    <v>Da plataforma Refinitiv</v>
    <v>14</v>
    <v>15</v>
    <v>Hospital Mater Dei S.A. (BVMF:MATD3)</v>
    <v>12</v>
    <v>16</v>
    <v>Finance</v>
    <v>5</v>
    <v>5.1100000000000003</v>
    <v>3.3</v>
    <v>BVMF</v>
    <v>339428000</v>
    <v>4.75</v>
    <v>1973</v>
    <v>4.5599999999999996</v>
    <v>1.5704</v>
    <v>B3 - Brazil Stock Exchange</v>
    <v>1591917320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4.59</v>
    <v>3677</v>
    <v>45838.695196759261</v>
    <v>577</v>
    <v>203750</v>
    <v>BRL</v>
    <v>Hospital Mater Dei S.A.</v>
    <v>Hospital Mater Dei S.A.</v>
    <v>4.59</v>
    <v>4.6900000000000004</v>
    <v>R Mato Grosso 1100, Santo Agostinho, BELO HORIZONTE, MINAS GERAIS, 30.190-081 BR</v>
    <v>Healthcare Providers &amp; Services</v>
    <v>MATD3</v>
    <v>Ações</v>
    <v>Hospital Mater Dei S.A. (BVMF:MATD3)</v>
    <v>0.1</v>
    <v>2.1786E-2</v>
    <v>42400</v>
  </rv>
  <rv s="2">
    <v>578</v>
  </rv>
  <rv s="0">
    <v>https://www.bing.com/financeapi/forcetrigger?t=c2vma2&amp;q=BVMF%3aTRAD3&amp;form=skydnc</v>
    <v>Learn more on Bing</v>
  </rv>
  <rv s="8">
    <v>pt-BR</v>
    <v>c2vma2</v>
    <v>268435456</v>
    <v>1</v>
    <v>Da plataforma Refinitiv</v>
    <v>14</v>
    <v>15</v>
    <v>TC S.A. (BVMF:TRAD3)</v>
    <v>12</v>
    <v>16</v>
    <v>Finance</v>
    <v>5</v>
    <v>9.4499999999999993</v>
    <v>2.42</v>
    <v>BVMF</v>
    <v>40021020</v>
    <v>7.37</v>
    <v>2016</v>
    <v>7.22</v>
    <v>0.58940000000000003</v>
    <v>B3 - Brazil Stock Exchange</v>
    <v>290552605</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7.27</v>
    <v>179</v>
    <v>45838.669469224216</v>
    <v>580</v>
    <v>18460</v>
    <v>BRL</v>
    <v>TC S.A.</v>
    <v>TC S.A.</v>
    <v>7.28</v>
    <v>7.26</v>
    <v>Avenida Presidente Juscelino Kubitschek, n 1830 Torre2, 5 andar,cj52, Vila Nova Conceicao, SAO PAULO, SAO PAULO, 04.543-900 BR</v>
    <v>Professional &amp; Business Education</v>
    <v>TRAD3</v>
    <v>Ações</v>
    <v>TC S.A. (BVMF:TRAD3)</v>
    <v>-0.01</v>
    <v>-1.3760000000000001E-3</v>
    <v>2300</v>
  </rv>
  <rv s="2">
    <v>581</v>
  </rv>
  <rv s="0">
    <v>https://www.bing.com/financeapi/forcetrigger?t=apnl4c&amp;q=BVMF%3aVULC3&amp;form=skydnc</v>
    <v>Learn more on Bing</v>
  </rv>
  <rv s="8">
    <v>pt-BR</v>
    <v>apnl4c</v>
    <v>268435456</v>
    <v>1</v>
    <v>Da plataforma Refinitiv</v>
    <v>14</v>
    <v>15</v>
    <v>Vulcabras S/A (BVMF:VULC3)</v>
    <v>12</v>
    <v>16</v>
    <v>Finance</v>
    <v>5</v>
    <v>21.21</v>
    <v>13.17</v>
    <v>BVMF</v>
    <v>275536300</v>
    <v>21.08</v>
    <v>1952</v>
    <v>20.49</v>
    <v>0.83169999999999999</v>
    <v>B3 - Brazil Stock Exchange</v>
    <v>5808305204</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20.71</v>
    <v>23878</v>
    <v>45838.698337210153</v>
    <v>583</v>
    <v>554270</v>
    <v>BRL</v>
    <v>Vulcabras S/A</v>
    <v>Vulcabras S/A</v>
    <v>20.71</v>
    <v>21.08</v>
    <v>Av. Antonio Frederico Ozanan, 1440, Da Grama, JUNDIAI, SAO PAULO, 13.219-001 BR</v>
    <v>Textiles &amp; Apparel</v>
    <v>VULC3</v>
    <v>Ações</v>
    <v>Vulcabras S/A (BVMF:VULC3)</v>
    <v>0.37</v>
    <v>1.7866E-2</v>
    <v>264400</v>
  </rv>
  <rv s="2">
    <v>584</v>
  </rv>
  <rv s="0">
    <v>https://www.bing.com/financeapi/forcetrigger?t=apmw4c&amp;q=BVMF%3aLUPA3&amp;form=skydnc</v>
    <v>Learn more on Bing</v>
  </rv>
  <rv s="8">
    <v>pt-BR</v>
    <v>apmw4c</v>
    <v>268435456</v>
    <v>1</v>
    <v>Da plataforma Refinitiv</v>
    <v>14</v>
    <v>15</v>
    <v>LUPATECH S.A (BVMF:LUPA3)</v>
    <v>12</v>
    <v>16</v>
    <v>Finance</v>
    <v>5</v>
    <v>2.09</v>
    <v>1.1299999999999999</v>
    <v>BVMF</v>
    <v>43716190</v>
    <v>1.2</v>
    <v>1980</v>
    <v>1.19</v>
    <v>1.7899</v>
    <v>B3 - Brazil Stock Exchange</v>
    <v>52022266</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1.21</v>
    <v>448</v>
    <v>45838.67827546296</v>
    <v>586</v>
    <v>50100</v>
    <v>BRL</v>
    <v>LUPATECH S.A</v>
    <v>LUPATECH S.A</v>
    <v>1.19</v>
    <v>1.19</v>
    <v>Rodovia Anhanguera, sentido interior/capital,KM 119, predio C, Distrito Industrial, NOVA ODESSA, SAO PAULO, 13.388-220 BR</v>
    <v>Machinery, Equipment &amp; Components</v>
    <v>LUPA3</v>
    <v>Ações</v>
    <v>LUPATECH S.A (BVMF:LUPA3)</v>
    <v>-0.02</v>
    <v>-1.6529000000000002E-2</v>
    <v>26400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7.52</v>
    <v>2000</v>
    <v>7.26</v>
    <v>1.6073</v>
    <v>B3 - Brazil Stock Exchange</v>
    <v>5166799764</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7.37</v>
    <v>5821</v>
    <v>45838.698333333334</v>
    <v>589</v>
    <v>5029710</v>
    <v>BRL</v>
    <v>ECORODOVIAS INFRAESTRUTURA E LOGÍSTICA S.A.</v>
    <v>ECORODOVIAS INFRAESTRUTURA E LOGÍSTICA S.A.</v>
    <v>7.37</v>
    <v>7.42</v>
    <v>Rua Gomes de Carvalho, n 1.510, Conjuntos 31/32, Vila Olimpia, SAO PAULO, SAO PAULO, 04.547-005 BR</v>
    <v>Transport Infrastructure</v>
    <v>ECOR3</v>
    <v>Ações</v>
    <v>ECORODOVIAS INFRAESTRUTURA E LOGÍSTICA S.A. (BVMF:ECOR3)</v>
    <v>0.05</v>
    <v>6.7840000000000001E-3</v>
    <v>1534700</v>
  </rv>
  <rv s="2">
    <v>590</v>
  </rv>
  <rv s="0">
    <v>https://www.bing.com/financeapi/forcetrigger?t=apn452&amp;q=BVMF%3aPDGR3&amp;form=skydnc</v>
    <v>Learn more on Bing</v>
  </rv>
  <rv s="9">
    <v>pt-BR</v>
    <v>apn452</v>
    <v>268435456</v>
    <v>1</v>
    <v>Da plataforma Refinitiv</v>
    <v>17</v>
    <v>18</v>
    <v>PDG Realty S.A. Empreendimentos e Participações (BVMF:PDGR3)</v>
    <v>12</v>
    <v>19</v>
    <v>Finance</v>
    <v>5</v>
    <v>32.5</v>
    <v>0.23</v>
    <v>BVMF</v>
    <v>29691030</v>
    <v>0.31</v>
    <v>1998</v>
    <v>0.28000000000000003</v>
    <v>1.7010000000000001</v>
    <v>B3 - Brazil Stock Exchange</v>
    <v>8610398</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0.3</v>
    <v>45838.697013888886</v>
    <v>592</v>
    <v>2311360</v>
    <v>BRL</v>
    <v>PDG Realty S.A. Empreendimentos e Participações</v>
    <v>PDG Realty S.A. Empreendimentos e Participações</v>
    <v>0.31</v>
    <v>0.28999999999999998</v>
    <v>Av. Dr. Cardoso de Melo 1855, 6 andar, Vila Olimpia, SAO PAULO, SAO PAULO, 04.548-005 BR</v>
    <v>Holding Companies</v>
    <v>PDGR3</v>
    <v>Ações</v>
    <v>PDG Realty S.A. Empreendimentos e Participações (BVMF:PDGR3)</v>
    <v>-0.01</v>
    <v>-3.3333000000000002E-2</v>
    <v>407000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77855300</v>
    <v>26.24</v>
    <v>1971</v>
    <v>26.11</v>
    <v>0.41220000000000001</v>
    <v>B3 - Brazil Stock Exchange</v>
    <v>2083353000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26.17</v>
    <v>1928</v>
    <v>45838.69699074074</v>
    <v>595</v>
    <v>2700</v>
    <v>BRL</v>
    <v>Companhia Energética do Ceará</v>
    <v>Companhia Energética do Ceará</v>
    <v>26.24</v>
    <v>26.11</v>
    <v>R Padre Valdevino 150, Centro, FORTALEZA, CEARA, 60.135-040 BR</v>
    <v>Electrical Utilities &amp; IPPs</v>
    <v>COCE5</v>
    <v>Ações</v>
    <v>Companhia Energética do Ceará (BVMF:COCE5)</v>
    <v>-0.06</v>
    <v>-2.2929999999999999E-3</v>
    <v>500</v>
  </rv>
  <rv s="2">
    <v>596</v>
  </rv>
  <rv s="0">
    <v>https://www.bing.com/financeapi/forcetrigger?t=bskpw7&amp;q=BVMF%3aCEAB3&amp;form=skydnc</v>
    <v>Learn more on Bing</v>
  </rv>
  <rv s="8">
    <v>pt-BR</v>
    <v>bskpw7</v>
    <v>268435456</v>
    <v>1</v>
    <v>Da plataforma Refinitiv</v>
    <v>14</v>
    <v>15</v>
    <v>C&amp;A MODAS S.A. (BVMF:CEAB3)</v>
    <v>12</v>
    <v>16</v>
    <v>Finance</v>
    <v>5</v>
    <v>20.21</v>
    <v>7.3</v>
    <v>BVMF</v>
    <v>308245100</v>
    <v>20.21</v>
    <v>1981</v>
    <v>19.46</v>
    <v>1.9140999999999999</v>
    <v>B3 - Brazil Stock Exchange</v>
    <v>6137159941</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19.940000000000001</v>
    <v>15000</v>
    <v>45838.698359062502</v>
    <v>598</v>
    <v>2551040</v>
    <v>BRL</v>
    <v>C&amp;A MODAS S.A.</v>
    <v>C&amp;A MODAS S.A.</v>
    <v>19.75</v>
    <v>19.91</v>
    <v>Alameda Araguaia, 1.222/1.022, Alphaville, BARUERI, SAO PAULO, 06.455-000 BR</v>
    <v>Specialty Retailers</v>
    <v>CEAB3</v>
    <v>Ações</v>
    <v>C&amp;A MODAS S.A. (BVMF:CEAB3)</v>
    <v>-0.03</v>
    <v>-1.505E-3</v>
    <v>1956900</v>
  </rv>
  <rv s="2">
    <v>599</v>
  </rv>
  <rv s="0">
    <v>https://www.bing.com/financeapi/forcetrigger?t=bv5ur7&amp;q=BVMF%3aAMBP3&amp;form=skydnc</v>
    <v>Learn more on Bing</v>
  </rv>
  <rv s="9">
    <v>pt-BR</v>
    <v>bv5ur7</v>
    <v>268435456</v>
    <v>1</v>
    <v>Da plataforma Refinitiv</v>
    <v>17</v>
    <v>18</v>
    <v>Ambipar Participações e Empreendimentos S.A. (BVMF:AMBP3)</v>
    <v>12</v>
    <v>19</v>
    <v>Finance</v>
    <v>5</v>
    <v>268.51</v>
    <v>13.25</v>
    <v>BVMF</v>
    <v>167041900</v>
    <v>165.5</v>
    <v>2010</v>
    <v>160.69999999999999</v>
    <v>1.5518000000000001</v>
    <v>B3 - Brazil Stock Exchange</v>
    <v>27351440706</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159.75</v>
    <v>45838.697916666664</v>
    <v>601</v>
    <v>317860</v>
    <v>BRL</v>
    <v>Ambipar Participações e Empreendimentos S.A.</v>
    <v>Ambipar Participações e Empreendimentos S.A.</v>
    <v>160.69999999999999</v>
    <v>163.74</v>
    <v>Av Pacaembu 1088 Sala 09, Pacaembu, SAO PAULO, SAO PAULO, 01.234-000 BR</v>
    <v>Professional &amp; Commercial Services</v>
    <v>AMBP3</v>
    <v>Ações</v>
    <v>Ambipar Participações e Empreendimentos S.A. (BVMF:AMBP3)</v>
    <v>3.99</v>
    <v>2.4976999999999999E-2</v>
    <v>62600</v>
  </rv>
  <rv s="2">
    <v>602</v>
  </rv>
  <rv s="0">
    <v>https://www.bing.com/financeapi/forcetrigger?t=bwzurw&amp;q=BVMF%3aNGRD3&amp;form=skydnc</v>
    <v>Learn more on Bing</v>
  </rv>
  <rv s="8">
    <v>pt-BR</v>
    <v>bwzurw</v>
    <v>268435456</v>
    <v>1</v>
    <v>Da plataforma Refinitiv</v>
    <v>14</v>
    <v>15</v>
    <v>Neogrid Participações S.A (BVMF:NGRD3)</v>
    <v>12</v>
    <v>16</v>
    <v>Finance</v>
    <v>5</v>
    <v>35</v>
    <v>18.23</v>
    <v>BVMF</v>
    <v>9140940</v>
    <v>27.18</v>
    <v>2008</v>
    <v>26.1</v>
    <v>1.0748</v>
    <v>B3 - Brazil Stock Exchange</v>
    <v>239309809</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26</v>
    <v>719</v>
    <v>45838.697372685187</v>
    <v>604</v>
    <v>6490</v>
    <v>BRL</v>
    <v>Neogrid Participações S.A</v>
    <v>Neogrid Participações S.A</v>
    <v>26.79</v>
    <v>26.18</v>
    <v>Avenida Santos Dumont, 935 1 andar, Santo Antonio, Joinville, SANTA CATARINA, 89.218-105 BR</v>
    <v>Software &amp; IT Services</v>
    <v>NGRD3</v>
    <v>Ações</v>
    <v>Neogrid Participações S.A (BVMF:NGRD3)</v>
    <v>0.18</v>
    <v>6.9230000000000003E-3</v>
    <v>2700</v>
  </rv>
  <rv s="2">
    <v>605</v>
  </rv>
  <rv s="0">
    <v>https://www.bing.com/financeapi/forcetrigger?t=apm6k2&amp;q=BVMF%3aCAML3&amp;form=skydnc</v>
    <v>Learn more on Bing</v>
  </rv>
  <rv s="8">
    <v>pt-BR</v>
    <v>apm6k2</v>
    <v>268435456</v>
    <v>1</v>
    <v>Da plataforma Refinitiv</v>
    <v>14</v>
    <v>15</v>
    <v>CAMIL ALIMENTOS S.A. (BVMF:CAML3)</v>
    <v>12</v>
    <v>16</v>
    <v>Finance</v>
    <v>5</v>
    <v>9.6300000000000008</v>
    <v>3.38</v>
    <v>BVMF</v>
    <v>350000000</v>
    <v>5.12</v>
    <v>1990</v>
    <v>5</v>
    <v>0.38490000000000002</v>
    <v>B3 - Brazil Stock Exchange</v>
    <v>1774500000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5.04</v>
    <v>7000</v>
    <v>45838.69813579844</v>
    <v>607</v>
    <v>1351530</v>
    <v>BRL</v>
    <v>CAMIL ALIMENTOS S.A.</v>
    <v>CAMIL ALIMENTOS S.A.</v>
    <v>5.04</v>
    <v>5.07</v>
    <v>Av. Doutora Ruth Cardoso 8501, 12 andar, Pinheiros, Eldorado Business Tower, SAO PAULO, SAO PAULO, 05.425-070 BR</v>
    <v>Food &amp; Tobacco</v>
    <v>CAML3</v>
    <v>Ações</v>
    <v>CAMIL ALIMENTOS S.A. (BVMF:CAML3)</v>
    <v>0.03</v>
    <v>5.9519999999999998E-3</v>
    <v>446700</v>
  </rv>
  <rv s="2">
    <v>608</v>
  </rv>
  <rv s="0">
    <v>https://www.bing.com/financeapi/forcetrigger?t=apml3m&amp;q=BVMF%3aTASA3&amp;form=skydnc</v>
    <v>Learn more on Bing</v>
  </rv>
  <rv s="8">
    <v>pt-BR</v>
    <v>apml3m</v>
    <v>268435456</v>
    <v>1</v>
    <v>Da plataforma Refinitiv</v>
    <v>14</v>
    <v>15</v>
    <v>Taurus Armas S.A (BVMF:TASA3)</v>
    <v>12</v>
    <v>16</v>
    <v>Finance</v>
    <v>5</v>
    <v>11.53</v>
    <v>7.01</v>
    <v>BVMF</v>
    <v>139297900</v>
    <v>7.18</v>
    <v>1939</v>
    <v>7.02</v>
    <v>1.0967</v>
    <v>B3 - Brazil Stock Exchange</v>
    <v>966871200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7.15</v>
    <v>3286</v>
    <v>45838.672415810157</v>
    <v>610</v>
    <v>233660</v>
    <v>BRL</v>
    <v>Taurus Armas S.A</v>
    <v>Taurus Armas S.A</v>
    <v>7.02</v>
    <v>7.14</v>
    <v>Avenida Sao Borja 2181/Predio A, Fazenda Sao Borja, SAO LEOPOLDO, RIO GRANDE DO SUL, 93.035-411 BR</v>
    <v>Aerospace &amp; Defense</v>
    <v>TASA3</v>
    <v>Ações</v>
    <v>Taurus Armas S.A (BVMF:TASA3)</v>
    <v>-0.01</v>
    <v>-1.3990000000000001E-3</v>
    <v>7000</v>
  </rv>
  <rv s="2">
    <v>611</v>
  </rv>
  <rv s="0">
    <v>https://www.bing.com/financeapi/forcetrigger?t=bpryr7&amp;q=BVMF%3aSBFG3&amp;form=skydnc</v>
    <v>Learn more on Bing</v>
  </rv>
  <rv s="8">
    <v>pt-BR</v>
    <v>bpryr7</v>
    <v>268435456</v>
    <v>1</v>
    <v>Da plataforma Refinitiv</v>
    <v>14</v>
    <v>15</v>
    <v>GRUPO SBF S.A. (BVMF:SBFG3)</v>
    <v>12</v>
    <v>16</v>
    <v>Finance</v>
    <v>5</v>
    <v>17.91</v>
    <v>8.92</v>
    <v>BVMF</v>
    <v>244013000</v>
    <v>12.28</v>
    <v>2011</v>
    <v>11.72</v>
    <v>2.0832999999999999</v>
    <v>B3 - Brazil Stock Exchange</v>
    <v>2925715870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11.79</v>
    <v>8196</v>
    <v>45838.698320439064</v>
    <v>613</v>
    <v>1947600</v>
    <v>BRL</v>
    <v>GRUPO SBF S.A.</v>
    <v>GRUPO SBF S.A.</v>
    <v>11.77</v>
    <v>11.99</v>
    <v>Av Dra Ruth Cardoso 7221 Andar Ed Birman 3, Pinheiros, PINHEIROS, SAO PAULO, 05.425-902 BR</v>
    <v>Specialty Retailers</v>
    <v>SBFG3</v>
    <v>Ações</v>
    <v>GRUPO SBF S.A. (BVMF:SBFG3)</v>
    <v>0.2</v>
    <v>1.6964E-2</v>
    <v>486100</v>
  </rv>
  <rv s="2">
    <v>614</v>
  </rv>
  <rv s="0">
    <v>https://www.bing.com/financeapi/forcetrigger?t=apnfbh&amp;q=BVMF%3aTECN3&amp;form=skydnc</v>
    <v>Learn more on Bing</v>
  </rv>
  <rv s="8">
    <v>pt-BR</v>
    <v>apnfbh</v>
    <v>268435456</v>
    <v>1</v>
    <v>Da plataforma Refinitiv</v>
    <v>14</v>
    <v>15</v>
    <v>TECHNOS S.A. (BVMF:TECN3)</v>
    <v>12</v>
    <v>16</v>
    <v>Finance</v>
    <v>5</v>
    <v>7.19</v>
    <v>4.28</v>
    <v>BVMF</v>
    <v>61856210</v>
    <v>7.19</v>
    <v>2007</v>
    <v>7.08</v>
    <v>0.71350000000000002</v>
    <v>B3 - Brazil Stock Exchange</v>
    <v>442271901</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7.13</v>
    <v>900</v>
    <v>45838.696659628906</v>
    <v>616</v>
    <v>43450</v>
    <v>BRL</v>
    <v>TECHNOS S.A.</v>
    <v>TECHNOS S.A.</v>
    <v>7.08</v>
    <v>7.15</v>
    <v>Avenida Das Americas, 4200 - Bloco 5 - 6 Andar, Barra Da Tijuca, RIO DE JANEIRO, RIO DE JANEIRO, 22.640-907 BR</v>
    <v>Specialty Retailers</v>
    <v>TECN3</v>
    <v>Ações</v>
    <v>TECHNOS S.A. (BVMF:TECN3)</v>
    <v>0.02</v>
    <v>2.8050000000000002E-3</v>
    <v>40500</v>
  </rv>
  <rv s="2">
    <v>617</v>
  </rv>
  <rv s="0">
    <v>https://www.bing.com/financeapi/forcetrigger?t=apncxm&amp;q=BVMF%3aSMTO3&amp;form=skydnc</v>
    <v>Learn more on Bing</v>
  </rv>
  <rv s="8">
    <v>pt-BR</v>
    <v>apncxm</v>
    <v>268435456</v>
    <v>1</v>
    <v>Da plataforma Refinitiv</v>
    <v>14</v>
    <v>15</v>
    <v>São Martinho S.A. (BVMF:SMTO3)</v>
    <v>12</v>
    <v>16</v>
    <v>Finance</v>
    <v>5</v>
    <v>33.28</v>
    <v>17.41</v>
    <v>BVMF</v>
    <v>332435400</v>
    <v>17.809999999999999</v>
    <v>1943</v>
    <v>17.48</v>
    <v>0.35299999999999998</v>
    <v>B3 - Brazil Stock Exchange</v>
    <v>5827592562</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17.670000000000002</v>
    <v>7869</v>
    <v>45838.698353749998</v>
    <v>619</v>
    <v>2283850</v>
    <v>BRL</v>
    <v>São Martinho S.A.</v>
    <v>São Martinho S.A.</v>
    <v>17.809999999999999</v>
    <v>17.53</v>
    <v>Fazenda Sao Martinho, S/Nr., Zona Rural, PRADOPOLIS, SAO PAULO, 14.850-000 BR</v>
    <v>Food &amp; Tobacco</v>
    <v>SMTO3</v>
    <v>Ações</v>
    <v>São Martinho S.A. (BVMF:SMTO3)</v>
    <v>-0.14000000000000001</v>
    <v>-7.9229999999999995E-3</v>
    <v>850100</v>
  </rv>
  <rv s="2">
    <v>620</v>
  </rv>
  <rv s="0">
    <v>https://www.bing.com/financeapi/forcetrigger?t=apn852&amp;q=BVMF%3aRANI3&amp;form=skydnc</v>
    <v>Learn more on Bing</v>
  </rv>
  <rv s="8">
    <v>pt-BR</v>
    <v>apn852</v>
    <v>268435456</v>
    <v>1</v>
    <v>Da plataforma Refinitiv</v>
    <v>14</v>
    <v>15</v>
    <v>IRANI PAPEL E EMBALAGEM S.A. (BVMF:RANI3)</v>
    <v>12</v>
    <v>16</v>
    <v>Finance</v>
    <v>5</v>
    <v>8.4600000000000009</v>
    <v>5.97</v>
    <v>BVMF</v>
    <v>239829900</v>
    <v>7.39</v>
    <v>1941</v>
    <v>7.28</v>
    <v>0.51519999999999999</v>
    <v>B3 - Brazil Stock Exchange</v>
    <v>1757953167</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7.33</v>
    <v>2348</v>
    <v>45838.698348182814</v>
    <v>622</v>
    <v>670740</v>
    <v>BRL</v>
    <v>IRANI PAPEL E EMBALAGEM S.A.</v>
    <v>IRANI PAPEL E EMBALAGEM S.A.</v>
    <v>7.39</v>
    <v>7.33</v>
    <v>Avenida Carlos Gomes,n400, Edificio Joao Benjamin Zaffari, salas 502/503, Boa Vista, PORTO ALEGRE, RIO GRANDE DO SUL, 90.480-900 BR</v>
    <v>Containers &amp; Packaging</v>
    <v>RANI3</v>
    <v>Ações</v>
    <v>IRANI PAPEL E EMBALAGEM S.A. (BVMF:RANI3)</v>
    <v>0</v>
    <v>0</v>
    <v>287300</v>
  </rv>
  <rv s="2">
    <v>623</v>
  </rv>
  <rv s="0">
    <v>https://www.bing.com/financeapi/forcetrigger?t=bvlnz2&amp;q=BVMF%3aPETZ3&amp;form=skydnc</v>
    <v>Learn more on Bing</v>
  </rv>
  <rv s="9">
    <v>pt-BR</v>
    <v>bvlnz2</v>
    <v>268435456</v>
    <v>1</v>
    <v>Da plataforma Refinitiv</v>
    <v>17</v>
    <v>18</v>
    <v>Pet Center Comércio e Participações S.A. (BVMF:PETZ3)</v>
    <v>12</v>
    <v>19</v>
    <v>Finance</v>
    <v>5</v>
    <v>5.57</v>
    <v>3.16</v>
    <v>BVMF</v>
    <v>462739900</v>
    <v>4.0199999999999996</v>
    <v>2013</v>
    <v>3.94</v>
    <v>1.1977</v>
    <v>B3 - Brazil Stock Exchange</v>
    <v>1841704802</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3.97</v>
    <v>45838.698333333334</v>
    <v>625</v>
    <v>7899590</v>
    <v>BRL</v>
    <v>Pet Center Comércio e Participações S.A.</v>
    <v>Pet Center Comércio e Participações S.A.</v>
    <v>3.94</v>
    <v>3.98</v>
    <v>Rua Guaranta, 555/587 Sala 1, Pari, SAO PAULO, SAO PAULO, 03.035-050 BR</v>
    <v>Specialty Retailers</v>
    <v>PETZ3</v>
    <v>Ações</v>
    <v>Pet Center Comércio e Participações S.A. (BVMF:PETZ3)</v>
    <v>0.01</v>
    <v>2.519E-3</v>
    <v>2345100</v>
  </rv>
  <rv s="2">
    <v>626</v>
  </rv>
  <rv s="0">
    <v>https://www.bing.com/financeapi/forcetrigger?t=apnh77&amp;q=BVMF%3aTOTS3&amp;form=skydnc</v>
    <v>Learn more on Bing</v>
  </rv>
  <rv s="9">
    <v>pt-BR</v>
    <v>apnh77</v>
    <v>268435456</v>
    <v>1</v>
    <v>Da plataforma Refinitiv</v>
    <v>17</v>
    <v>18</v>
    <v>TOTVS S.A. (BVMF:TOTS3)</v>
    <v>12</v>
    <v>19</v>
    <v>Finance</v>
    <v>5</v>
    <v>43.97</v>
    <v>25.69</v>
    <v>BVMF</v>
    <v>599401600</v>
    <v>42.19</v>
    <v>1983</v>
    <v>41.4</v>
    <v>0.9728</v>
    <v>B3 - Brazil Stock Exchange</v>
    <v>25192849248</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41.52</v>
    <v>45838.698298611111</v>
    <v>628</v>
    <v>2915720</v>
    <v>BRL</v>
    <v>TOTVS S.A.</v>
    <v>TOTVS S.A.</v>
    <v>41.4</v>
    <v>42.03</v>
    <v>Avenida Braz Leme 1000, Casa Verde, SAO PAULO, SAO PAULO, 02.511-000 BR</v>
    <v>Software &amp; IT Services</v>
    <v>TOTS3</v>
    <v>Ações</v>
    <v>TOTVS S.A. (BVMF:TOTS3)</v>
    <v>0.51</v>
    <v>1.2282999999999999E-2</v>
    <v>547400</v>
  </rv>
  <rv s="2">
    <v>629</v>
  </rv>
  <rv s="0">
    <v>https://www.bing.com/financeapi/forcetrigger?t=apmipr&amp;q=BVMF%3aYDUQ3&amp;form=skydnc</v>
    <v>Learn more on Bing</v>
  </rv>
  <rv s="8">
    <v>pt-BR</v>
    <v>apmipr</v>
    <v>268435456</v>
    <v>1</v>
    <v>Da plataforma Refinitiv</v>
    <v>14</v>
    <v>15</v>
    <v>YDUQS Participações S.A. (BVMF:YDUQ3)</v>
    <v>12</v>
    <v>16</v>
    <v>Finance</v>
    <v>5</v>
    <v>17.8</v>
    <v>7.54</v>
    <v>BVMF</v>
    <v>274088800</v>
    <v>16.399999999999999</v>
    <v>2007</v>
    <v>16.05</v>
    <v>1.9766999999999999</v>
    <v>B3 - Brazil Stock Exchange</v>
    <v>4451202112</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16.18</v>
    <v>16000</v>
    <v>45838.698067129626</v>
    <v>631</v>
    <v>2227410</v>
    <v>BRL</v>
    <v>YDUQS Participações S.A.</v>
    <v>YDUQS Participações S.A.</v>
    <v>16.170000000000002</v>
    <v>16.239999999999998</v>
    <v>Avenida Venezuela 43, 6 andar, Saude, RIO DE JANEIRO, RIO DE JANEIRO, 20.081-311 BR</v>
    <v>School, College &amp; University</v>
    <v>YDUQ3</v>
    <v>Ações</v>
    <v>YDUQS Participações S.A. (BVMF:YDUQ3)</v>
    <v>0.06</v>
    <v>3.7080000000000004E-3</v>
    <v>1778000</v>
  </rv>
  <rv s="2">
    <v>632</v>
  </rv>
  <rv s="0">
    <v>https://www.bing.com/financeapi/forcetrigger?t=bvs1lh&amp;q=BVMF%3aJSLG3&amp;form=skydnc</v>
    <v>Learn more on Bing</v>
  </rv>
  <rv s="8">
    <v>pt-BR</v>
    <v>bvs1lh</v>
    <v>268435456</v>
    <v>1</v>
    <v>Da plataforma Refinitiv</v>
    <v>14</v>
    <v>15</v>
    <v>JSL S.A. (BVMF:JSLG3)</v>
    <v>12</v>
    <v>16</v>
    <v>Finance</v>
    <v>5</v>
    <v>9.82</v>
    <v>5</v>
    <v>BVMF</v>
    <v>286431100</v>
    <v>5.98</v>
    <v>1969</v>
    <v>5.81</v>
    <v>1.4613</v>
    <v>B3 - Brazil Stock Exchange</v>
    <v>1698536423</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5.85</v>
    <v>28000</v>
    <v>45838.697314814817</v>
    <v>634</v>
    <v>486460</v>
    <v>BRL</v>
    <v>JSL S.A.</v>
    <v>JSL S.A.</v>
    <v>5.86</v>
    <v>5.93</v>
    <v>Rua Doutor Renato Paes de Barros, 1017, Conjunto 91,ED. Corporate Park, Itaim Bibi, SAO PAULO, SAO PAULO, 04.530-001 BR</v>
    <v>Freight &amp; Logistics Services</v>
    <v>JSLG3</v>
    <v>Ações</v>
    <v>JSL S.A. (BVMF:JSLG3)</v>
    <v>0.08</v>
    <v>1.3675E-2</v>
    <v>222800</v>
  </rv>
  <rv s="2">
    <v>635</v>
  </rv>
  <rv s="0">
    <v>https://www.bing.com/financeapi/forcetrigger?t=c337yc&amp;q=BVMF%3aONCO3&amp;form=skydnc</v>
    <v>Learn more on Bing</v>
  </rv>
  <rv s="9">
    <v>pt-BR</v>
    <v>c337yc</v>
    <v>268435456</v>
    <v>1</v>
    <v>Da plataforma Refinitiv</v>
    <v>17</v>
    <v>18</v>
    <v>Oncoclínicas do Brasil Serviços Médicos S.A. (BVMF:ONCO3)</v>
    <v>12</v>
    <v>19</v>
    <v>Finance</v>
    <v>5</v>
    <v>8.36</v>
    <v>1.74</v>
    <v>BVMF</v>
    <v>651756300</v>
    <v>5.35</v>
    <v>2010</v>
    <v>4.99</v>
    <v>1.3983000000000001</v>
    <v>B3 - Brazil Stock Exchange</v>
    <v>3310922004</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5.08</v>
    <v>45838.698296110939</v>
    <v>637</v>
    <v>2470290</v>
    <v>BRL</v>
    <v>Oncoclínicas do Brasil Serviços Médicos S.A.</v>
    <v>Oncoclínicas do Brasil Serviços Médicos S.A.</v>
    <v>5.01</v>
    <v>5.08</v>
    <v>Avenida Presidente Juscelino Kubitschek, n 510 2 andar, Vila Nova Conceicao, SAO PAULO, SAO PAULO, 04.543-906 BR</v>
    <v>Healthcare Providers &amp; Services</v>
    <v>ONCO3</v>
    <v>Ações</v>
    <v>Oncoclínicas do Brasil Serviços Médicos S.A. (BVMF:ONCO3)</v>
    <v>0</v>
    <v>0</v>
    <v>1507200</v>
  </rv>
  <rv s="2">
    <v>638</v>
  </rv>
  <rv s="0">
    <v>https://www.bing.com/financeapi/forcetrigger?t=apltk2&amp;q=BVMF%3aAALR3&amp;form=skydnc</v>
    <v>Learn more on Bing</v>
  </rv>
  <rv s="9">
    <v>pt-BR</v>
    <v>apltk2</v>
    <v>268435456</v>
    <v>1</v>
    <v>Da plataforma Refinitiv</v>
    <v>17</v>
    <v>18</v>
    <v>ALLIANÇA SAÚDE E PARTICIPAÇÕES S.A. (BVMF:AALR3)</v>
    <v>12</v>
    <v>19</v>
    <v>Finance</v>
    <v>5</v>
    <v>17.32</v>
    <v>4.6900000000000004</v>
    <v>BVMF</v>
    <v>152359500</v>
    <v>4.9400000000000004</v>
    <v>1992</v>
    <v>4.87</v>
    <v>0.90739999999999998</v>
    <v>B3 - Brazil Stock Exchange</v>
    <v>743514360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4.92</v>
    <v>45838.698212846874</v>
    <v>640</v>
    <v>23060</v>
    <v>BRL</v>
    <v>ALLIANÇA SAÚDE E PARTICIPAÇÕES S.A.</v>
    <v>ALLIANÇA SAÚDE E PARTICIPAÇÕES S.A.</v>
    <v>4.93</v>
    <v>4.88</v>
    <v>Avenida Presidente Juscelino Kubitschek, 1830, Sala 111 - Bloco 1, Vila Nova Conceicao, SAO PAULO, SAO PAULO, 04.543-900 BR</v>
    <v>Healthcare Providers &amp; Services</v>
    <v>AALR3</v>
    <v>Ações</v>
    <v>ALLIANÇA SAÚDE E PARTICIPAÇÕES S.A. (BVMF:AALR3)</v>
    <v>-0.04</v>
    <v>-8.1300000000000001E-3</v>
    <v>800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2.56</v>
    <v>1977</v>
    <v>2.48</v>
    <v>2.0447000000000002</v>
    <v>B3 - Brazil Stock Exchange</v>
    <v>338643283</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2.4900000000000002</v>
    <v>183</v>
    <v>45838.698217592595</v>
    <v>643</v>
    <v>1384040</v>
    <v>BRL</v>
    <v>HELBOR EMPREENDIMENTOS S.A.</v>
    <v>HELBOR EMPREENDIMENTOS S.A.</v>
    <v>2.48</v>
    <v>2.5299999999999998</v>
    <v>Av. Vereador Narciso Yague Guimaraes, N 1145,15 Andar, Jardim Armenia, MOGI DAS CRUZES, SAO PAULO, 08.780-500 BR</v>
    <v>Real Estate Operations</v>
    <v>HBOR3</v>
    <v>Ações</v>
    <v>HELBOR EMPREENDIMENTOS S.A. (BVMF:HBOR3)</v>
    <v>0.04</v>
    <v>1.6064000000000002E-2</v>
    <v>461700</v>
  </rv>
  <rv s="2">
    <v>644</v>
  </rv>
  <rv s="0">
    <v>https://www.bing.com/financeapi/forcetrigger?t=apmbxm&amp;q=BVMF%3aCRPG5&amp;form=skydnc</v>
    <v>Learn more on Bing</v>
  </rv>
  <rv s="9">
    <v>pt-BR</v>
    <v>apmbxm</v>
    <v>268435456</v>
    <v>1</v>
    <v>Da plataforma Refinitiv</v>
    <v>17</v>
    <v>18</v>
    <v>Tronox Pigmentos do Brasil SA (BVMF:CRPG5)</v>
    <v>12</v>
    <v>19</v>
    <v>Finance</v>
    <v>5</v>
    <v>30.27</v>
    <v>17.149999999999999</v>
    <v>BVMF</v>
    <v>29018750</v>
    <v>17.260000000000002</v>
    <v>1966</v>
    <v>17.149999999999999</v>
    <v>0.7762</v>
    <v>B3 - Brazil Stock Exchange</v>
    <v>521760000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17.510000000000002</v>
    <v>45838.668819444443</v>
    <v>646</v>
    <v>1940</v>
    <v>BRL</v>
    <v>Tronox Pigmentos do Brasil SA</v>
    <v>Tronox Pigmentos do Brasil SA</v>
    <v>17.260000000000002</v>
    <v>17.149999999999999</v>
    <v>Rodovia Ba 099 Km 20 Centro, Abrantes, CAMACARI, BAHIA, 42.840-000 BR</v>
    <v>Chemicals</v>
    <v>CRPG5</v>
    <v>Ações</v>
    <v>Tronox Pigmentos do Brasil SA (BVMF:CRPG5)</v>
    <v>-0.36</v>
    <v>-2.0560000000000002E-2</v>
    <v>500</v>
  </rv>
  <rv s="2">
    <v>647</v>
  </rv>
  <rv s="0">
    <v>https://www.bing.com/financeapi/forcetrigger?t=apmvrw&amp;q=BVMF%3aLOGN3&amp;form=skydnc</v>
    <v>Learn more on Bing</v>
  </rv>
  <rv s="8">
    <v>pt-BR</v>
    <v>apmvrw</v>
    <v>268435456</v>
    <v>1</v>
    <v>Da plataforma Refinitiv</v>
    <v>14</v>
    <v>15</v>
    <v>LOG-IN LOGISTICA INTERMODAL S.A. (BVMF:LOGN3)</v>
    <v>12</v>
    <v>16</v>
    <v>Finance</v>
    <v>5</v>
    <v>43.46</v>
    <v>19.25</v>
    <v>BVMF</v>
    <v>107306500</v>
    <v>25.59</v>
    <v>1973</v>
    <v>25.11</v>
    <v>0.91690000000000005</v>
    <v>B3 - Brazil Stock Exchange</v>
    <v>2726658165</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25.4</v>
    <v>750</v>
    <v>45838.696550925924</v>
    <v>649</v>
    <v>13170</v>
    <v>BRL</v>
    <v>LOG-IN LOGISTICA INTERMODAL S.A.</v>
    <v>LOG-IN LOGISTICA INTERMODAL S.A.</v>
    <v>25.59</v>
    <v>25.41</v>
    <v>Rua do Passeio, 78 12 andar - 1201, Centro, RIO DE JANEIRO, RIO DE JANEIRO, 20.021-290 BR</v>
    <v>Freight &amp; Logistics Services</v>
    <v>LOGN3</v>
    <v>Ações</v>
    <v>LOG-IN LOGISTICA INTERMODAL S.A. (BVMF:LOGN3)</v>
    <v>0.01</v>
    <v>3.9370000000000003E-4</v>
    <v>7900</v>
  </rv>
  <rv s="2">
    <v>650</v>
  </rv>
  <rv s="0">
    <v>https://www.bing.com/financeapi/forcetrigger?t=bxgk6h&amp;q=BVMF%3aVAMO3&amp;form=skydnc</v>
    <v>Learn more on Bing</v>
  </rv>
  <rv s="8">
    <v>pt-BR</v>
    <v>bxgk6h</v>
    <v>268435456</v>
    <v>1</v>
    <v>Da plataforma Refinitiv</v>
    <v>14</v>
    <v>15</v>
    <v>Vamos Locação de Caminhões, Máquinas e Equipamentos S.A. (BVMF:VAMO3)</v>
    <v>12</v>
    <v>16</v>
    <v>Finance</v>
    <v>5</v>
    <v>8.3000000000000007</v>
    <v>3.54</v>
    <v>BVMF</v>
    <v>1081033000</v>
    <v>4.2</v>
    <v>2015</v>
    <v>4.03</v>
    <v>1.2881</v>
    <v>B3 - Brazil Stock Exchange</v>
    <v>4453855960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4.13</v>
    <v>2291</v>
    <v>45838.69835648148</v>
    <v>652</v>
    <v>20288590</v>
    <v>BRL</v>
    <v>Vamos Locação de Caminhões, Máquinas e Equipamentos S.A.</v>
    <v>Vamos Locação de Caminhões, Máquinas e Equipamentos S.A.</v>
    <v>4.17</v>
    <v>4.12</v>
    <v>Rua Doutor Renato Paes de Barros, 1017, 6 andar, Itaim Bibi, SAO PAULO, SAO PAULO, 04.530-001 BR</v>
    <v>Freight &amp; Logistics Services</v>
    <v>VAMO3</v>
    <v>Ações</v>
    <v>Vamos Locação de Caminhões, Máquinas e Equipamentos S.A. (BVMF:VAMO3)</v>
    <v>-0.01</v>
    <v>-2.421E-3</v>
    <v>7855400</v>
  </rv>
  <rv s="2">
    <v>653</v>
  </rv>
  <rv s="0">
    <v>https://www.bing.com/financeapi/forcetrigger?t=apmsww&amp;q=BVMF%3aJHSF3&amp;form=skydnc</v>
    <v>Learn more on Bing</v>
  </rv>
  <rv s="9">
    <v>pt-BR</v>
    <v>apmsww</v>
    <v>268435456</v>
    <v>1</v>
    <v>Da plataforma Refinitiv</v>
    <v>17</v>
    <v>18</v>
    <v>JHS F Participações S.A (BVMF:JHSF3)</v>
    <v>12</v>
    <v>19</v>
    <v>Finance</v>
    <v>5</v>
    <v>5.47</v>
    <v>3.43</v>
    <v>BVMF</v>
    <v>681322800</v>
    <v>5.35</v>
    <v>2006</v>
    <v>5.21</v>
    <v>1.6373</v>
    <v>B3 - Brazil Stock Exchange</v>
    <v>3611010840</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5.25</v>
    <v>45838.698223668747</v>
    <v>655</v>
    <v>2158530</v>
    <v>BRL</v>
    <v>JHS F Participações S.A</v>
    <v>JHS F Participações S.A</v>
    <v>5.25</v>
    <v>5.3</v>
    <v>Avenida Alcides Sangirardi s/n - 301 Usina SP Espaco C.01.01, Cidade Jardim, SAO PAULO, SAO PAULO, 05.672-015 BR</v>
    <v>Real Estate Operations</v>
    <v>JHSF3</v>
    <v>Ações</v>
    <v>JHS F Participações S.A (BVMF:JHSF3)</v>
    <v>0.05</v>
    <v>9.5239999999999995E-3</v>
    <v>823500</v>
  </rv>
  <rv s="2">
    <v>656</v>
  </rv>
  <rv s="0">
    <v>https://www.bing.com/financeapi/forcetrigger?t=apmtf2&amp;q=BVMF%3aSIMH3&amp;form=skydnc</v>
    <v>Learn more on Bing</v>
  </rv>
  <rv s="8">
    <v>pt-BR</v>
    <v>apmtf2</v>
    <v>268435456</v>
    <v>1</v>
    <v>Da plataforma Refinitiv</v>
    <v>14</v>
    <v>15</v>
    <v>SIMPAR S.A. (BVMF:SIMH3)</v>
    <v>12</v>
    <v>16</v>
    <v>Finance</v>
    <v>5</v>
    <v>7.05</v>
    <v>2.95</v>
    <v>BVMF</v>
    <v>873040500</v>
    <v>5.12</v>
    <v>2005</v>
    <v>4.8899999999999997</v>
    <v>1.6448</v>
    <v>B3 - Brazil Stock Exchange</v>
    <v>4382663310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5.03</v>
    <v>56000</v>
    <v>45838.698297267969</v>
    <v>658</v>
    <v>6954960</v>
    <v>BRL</v>
    <v>SIMPAR S.A.</v>
    <v>SIMPAR S.A.</v>
    <v>5.04</v>
    <v>5.0199999999999996</v>
    <v>Rua Doutor Renato Paes de Barros, 1017, 10 andar, cj. 101, Itaim Bibi, SAO PAULO, SAO PAULO, 04.530-001 BR</v>
    <v>Freight &amp; Logistics Services</v>
    <v>SIMH3</v>
    <v>Ações</v>
    <v>SIMPAR S.A. (BVMF:SIMH3)</v>
    <v>-0.01</v>
    <v>-1.9880000000000002E-3</v>
    <v>2677300</v>
  </rv>
  <rv s="2">
    <v>659</v>
  </rv>
  <rv s="0">
    <v>https://www.bing.com/financeapi/forcetrigger?t=apmp9c&amp;q=BVMF%3aGUAR3&amp;form=skydnc</v>
    <v>Learn more on Bing</v>
  </rv>
  <rv s="8">
    <v>pt-BR</v>
    <v>apmp9c</v>
    <v>268435456</v>
    <v>1</v>
    <v>Da plataforma Refinitiv</v>
    <v>14</v>
    <v>15</v>
    <v>Guararapes Confecções S/A (BVMF:GUAR3)</v>
    <v>12</v>
    <v>16</v>
    <v>Finance</v>
    <v>5</v>
    <v>9.7100000000000009</v>
    <v>5.56</v>
    <v>BVMF</v>
    <v>499200000</v>
    <v>8.59</v>
    <v>1956</v>
    <v>8.33</v>
    <v>2.1236000000000002</v>
    <v>B3 - Brazil Stock Exchange</v>
    <v>4238208000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8.48</v>
    <v>31919</v>
    <v>45838.698344907411</v>
    <v>661</v>
    <v>570810</v>
    <v>BRL</v>
    <v>Guararapes Confecções S/A</v>
    <v>Guararapes Confecções S/A</v>
    <v>8.3800000000000008</v>
    <v>8.49</v>
    <v>Rodovia BR 101 Norte, n 9.000, Anexo Guararapes Confeccoes, N. Sra. Apresentacao, NATAL, RIO GRANDE DO NORTE, 59.115-900 BR</v>
    <v>Specialty Retailers</v>
    <v>GUAR3</v>
    <v>Ações</v>
    <v>Guararapes Confecções S/A (BVMF:GUAR3)</v>
    <v>0.01</v>
    <v>1.1790000000000001E-3</v>
    <v>216700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2.34</v>
    <v>1.48</v>
    <v>BVMF</v>
    <v>10000000</v>
    <v>1.64</v>
    <v>2005</v>
    <v>1.64</v>
    <v>1.9915</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16</v>
    <v>Finance</v>
    <v>5</v>
    <v>3.19</v>
    <v>0.95</v>
    <v>BVMF</v>
    <v>1876606000</v>
    <v>2.81</v>
    <v>1998</v>
    <v>2.75</v>
    <v>1.9981</v>
    <v>B3 - Brazil Stock Exchange</v>
    <v>5216964680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2.79</v>
    <v>26933</v>
    <v>45838.697989733591</v>
    <v>667</v>
    <v>32903570</v>
    <v>BRL</v>
    <v>COGNA EDUCAÇÃO S.A.</v>
    <v>COGNA EDUCAÇÃO S.A.</v>
    <v>2.79</v>
    <v>2.78</v>
    <v>Rua dos Guajajaras, n 591 4 andar, sala 1, Lourdes, BELO HORIZONTE, MINAS GERAIS, 30.180-101 BR</v>
    <v>School, College &amp; University</v>
    <v>COGN3</v>
    <v>Ações</v>
    <v>COGNA EDUCAÇÃO S.A. (BVMF:COGN3)</v>
    <v>-0.01</v>
    <v>-3.5839999999999999E-3</v>
    <v>9275700</v>
  </rv>
  <rv s="2">
    <v>668</v>
  </rv>
  <rv s="0">
    <v>https://www.bing.com/financeapi/forcetrigger?t=apn2nm&amp;q=BVMF%3aOIBR4&amp;form=skydnc</v>
    <v>Learn more on Bing</v>
  </rv>
  <rv s="8">
    <v>pt-BR</v>
    <v>apn2nm</v>
    <v>268435456</v>
    <v>1</v>
    <v>Da plataforma Refinitiv</v>
    <v>14</v>
    <v>15</v>
    <v>Oi S.A. – Em Recuperação Judicial (BVMF:OIBR4)</v>
    <v>12</v>
    <v>16</v>
    <v>Finance</v>
    <v>5</v>
    <v>16.940000000000001</v>
    <v>5.65</v>
    <v>BVMF</v>
    <v>330121700</v>
    <v>9.2899999999999991</v>
    <v>1963</v>
    <v>9.02</v>
    <v>1.7779</v>
    <v>B3 - Brazil Stock Exchange</v>
    <v>224810900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9.2200000000000006</v>
    <v>2600</v>
    <v>45838.686840277776</v>
    <v>670</v>
    <v>50050</v>
    <v>BRL</v>
    <v>Oi S.A. – Em Recuperação Judicial</v>
    <v>Oi S.A. – Em Recuperação Judicial</v>
    <v>9.2899999999999991</v>
    <v>9.1</v>
    <v>Rua do Lavradio, 71,2 andar, Centro, RIO DE JANEIRO, RIO DE JANEIRO, 20.230-070 BR</v>
    <v>Telecommunications Services</v>
    <v>OIBR4</v>
    <v>Ações</v>
    <v>Oi S.A. – Em Recuperação Judicial (BVMF:OIBR4)</v>
    <v>-0.12</v>
    <v>-1.3015000000000001E-2</v>
    <v>800</v>
  </rv>
  <rv s="2">
    <v>671</v>
  </rv>
  <rv s="0">
    <v>https://www.bing.com/financeapi/forcetrigger?t=c3an52&amp;q=BVMF%3aVITT3&amp;form=skydnc</v>
    <v>Learn more on Bing</v>
  </rv>
  <rv s="8">
    <v>pt-BR</v>
    <v>c3an52</v>
    <v>268435456</v>
    <v>1</v>
    <v>Da plataforma Refinitiv</v>
    <v>14</v>
    <v>15</v>
    <v>VITTIA S.A. (BVMF:VITT3)</v>
    <v>12</v>
    <v>16</v>
    <v>Finance</v>
    <v>5</v>
    <v>6.28</v>
    <v>4.32</v>
    <v>BVMF</v>
    <v>150314000</v>
    <v>4.8899999999999997</v>
    <v>1971</v>
    <v>4.76</v>
    <v>1.0256000000000001</v>
    <v>B3 - Brazil Stock Exchange</v>
    <v>730526040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4.8099999999999996</v>
    <v>1169</v>
    <v>45838.698368055557</v>
    <v>673</v>
    <v>405870</v>
    <v>BRL</v>
    <v>VITTIA S.A.</v>
    <v>VITTIA S.A.</v>
    <v>4.8</v>
    <v>4.8600000000000003</v>
    <v>Av. MarginAvenida Marginal Esquerda, 1.000al Esquerda, 1.000, Distrito Industrial, Sao Joaquim da Barra, SAO PAULO, 14.600-000 BR</v>
    <v>Chemicals</v>
    <v>VITT3</v>
    <v>Ações</v>
    <v>VITTIA S.A. (BVMF:VITT3)</v>
    <v>0.05</v>
    <v>1.0395000000000001E-2</v>
    <v>95000</v>
  </rv>
  <rv s="2">
    <v>674</v>
  </rv>
  <rv s="0">
    <v>https://www.bing.com/financeapi/forcetrigger?t=apn7bh&amp;q=BVMF%3aPTBL3&amp;form=skydnc</v>
    <v>Learn more on Bing</v>
  </rv>
  <rv s="8">
    <v>pt-BR</v>
    <v>apn7bh</v>
    <v>268435456</v>
    <v>1</v>
    <v>Da plataforma Refinitiv</v>
    <v>14</v>
    <v>15</v>
    <v>PBG S/A (BVMF:PTBL3)</v>
    <v>12</v>
    <v>16</v>
    <v>Finance</v>
    <v>5</v>
    <v>5.55</v>
    <v>3.25</v>
    <v>BVMF</v>
    <v>140986900</v>
    <v>4.6900000000000004</v>
    <v>1977</v>
    <v>4.5599999999999996</v>
    <v>1.6977</v>
    <v>B3 - Brazil Stock Exchange</v>
    <v>648539740</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4.6500000000000004</v>
    <v>2448</v>
    <v>45838.697916990626</v>
    <v>676</v>
    <v>367900</v>
    <v>BRL</v>
    <v>PBG S/A</v>
    <v>PBG S/A</v>
    <v>4.5999999999999996</v>
    <v>4.5999999999999996</v>
    <v>Sc-401 4756, Saco Grande, FLORIANOPOLIS, SANTA CATARINA, 88.032-005 BR</v>
    <v>Homebuilding &amp; Construction Supplies</v>
    <v>PTBL3</v>
    <v>Ações</v>
    <v>PBG S/A (BVMF:PTBL3)</v>
    <v>-0.05</v>
    <v>-1.0752999999999999E-2</v>
    <v>90400</v>
  </rv>
  <rv s="2">
    <v>677</v>
  </rv>
  <rv s="0">
    <v>https://www.bing.com/financeapi/forcetrigger?t=c1c2vh&amp;q=BVMF%3aVVEO3&amp;form=skydnc</v>
    <v>Learn more on Bing</v>
  </rv>
  <rv s="8">
    <v>pt-BR</v>
    <v>c1c2vh</v>
    <v>268435456</v>
    <v>1</v>
    <v>Da plataforma Refinitiv</v>
    <v>14</v>
    <v>15</v>
    <v>CM Hospitalar S.A. (BVMF:VVEO3)</v>
    <v>12</v>
    <v>16</v>
    <v>Finance</v>
    <v>5</v>
    <v>3.17</v>
    <v>1.07</v>
    <v>BVMF</v>
    <v>322820600</v>
    <v>1.25</v>
    <v>2010</v>
    <v>1.19</v>
    <v>0.97919999999999996</v>
    <v>B3 - Brazil Stock Exchange</v>
    <v>387384720</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1.25</v>
    <v>6000</v>
    <v>45838.698031284373</v>
    <v>679</v>
    <v>550880</v>
    <v>BRL</v>
    <v>CM Hospitalar S.A.</v>
    <v>CM Hospitalar S.A.</v>
    <v>1.23</v>
    <v>1.2</v>
    <v>Avenida Luiz Maggioni, n 2.727, Distrito Empresarial, RIBEIRAO PRETO, SAO PAULO, 14.072-055 BR</v>
    <v>Pharmaceuticals</v>
    <v>VVEO3</v>
    <v>Ações</v>
    <v>CM Hospitalar S.A. (BVMF:VVEO3)</v>
    <v>-0.05</v>
    <v>-0.04</v>
    <v>455900</v>
  </rv>
  <rv s="2">
    <v>680</v>
  </rv>
  <rv s="0">
    <v>https://www.bing.com/financeapi/forcetrigger?t=bxi3ec&amp;q=BVMF%3aHBRE3&amp;form=skydnc</v>
    <v>Learn more on Bing</v>
  </rv>
  <rv s="9">
    <v>pt-BR</v>
    <v>bxi3ec</v>
    <v>268435456</v>
    <v>1</v>
    <v>Da plataforma Refinitiv</v>
    <v>17</v>
    <v>18</v>
    <v>HBR Realty Empreendimentos Imobiliários S.A. (BVMF:HBRE3)</v>
    <v>12</v>
    <v>19</v>
    <v>Finance</v>
    <v>5</v>
    <v>6.11</v>
    <v>2.5499999999999998</v>
    <v>BVMF</v>
    <v>103189000</v>
    <v>3.48</v>
    <v>2011</v>
    <v>3.4</v>
    <v>1.4427000000000001</v>
    <v>B3 - Brazil Stock Exchange</v>
    <v>359097720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3.41</v>
    <v>45838.697052267969</v>
    <v>682</v>
    <v>405610</v>
    <v>BRL</v>
    <v>HBR Realty Empreendimentos Imobiliários S.A.</v>
    <v>HBR Realty Empreendimentos Imobiliários S.A.</v>
    <v>3.43</v>
    <v>3.48</v>
    <v>Avenida Vereador Narciso Yague Guimaraes, 1.145, 2 andar, Jardim Armenia, Mogi Das Cruzes, SAO PAULO, 08.780-500 BR</v>
    <v>Real Estate Operations</v>
    <v>HBRE3</v>
    <v>Ações</v>
    <v>HBR Realty Empreendimentos Imobiliários S.A. (BVMF:HBRE3)</v>
    <v>7.0000000000000007E-2</v>
    <v>2.0528000000000001E-2</v>
    <v>110800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2.4700000000000002</v>
    <v>1991</v>
    <v>2.39</v>
    <v>0.70289999999999997</v>
    <v>B3 - Brazil Stock Exchange</v>
    <v>104609845</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2.4700000000000002</v>
    <v>296</v>
    <v>45838.694046296092</v>
    <v>685</v>
    <v>11640</v>
    <v>BRL</v>
    <v>RNI Negócios Imobiliários S.A.</v>
    <v>RNI Negócios Imobiliários S.A.</v>
    <v>2.4700000000000002</v>
    <v>2.39</v>
    <v>Av. Francisco das Chagas de Oliveira, 2.500, SAO JOSE DO RIO PRETO, SAO PAULO, 15.085-485 BR</v>
    <v>Real Estate Operations</v>
    <v>RDNI3</v>
    <v>Ações</v>
    <v>RNI Negócios Imobiliários S.A. (BVMF:RDNI3)</v>
    <v>-0.08</v>
    <v>-3.2389000000000001E-2</v>
    <v>3200</v>
  </rv>
  <rv s="2">
    <v>686</v>
  </rv>
  <rv s="0">
    <v>https://www.bing.com/financeapi/forcetrigger?t=aywh77&amp;q=BVMF%3aPCAR3&amp;form=skydnc</v>
    <v>Learn more on Bing</v>
  </rv>
  <rv s="8">
    <v>pt-BR</v>
    <v>aywh77</v>
    <v>268435456</v>
    <v>1</v>
    <v>Da plataforma Refinitiv</v>
    <v>14</v>
    <v>15</v>
    <v>Companhia Brasileira de Distribuição S.A. (BVMF:PCAR3)</v>
    <v>12</v>
    <v>16</v>
    <v>Finance</v>
    <v>5</v>
    <v>4.95</v>
    <v>2.1800000000000002</v>
    <v>BVMF</v>
    <v>490286400</v>
    <v>3.09</v>
    <v>1981</v>
    <v>3.01</v>
    <v>1.9751000000000001</v>
    <v>B3 - Brazil Stock Exchange</v>
    <v>1500276384</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3.05</v>
    <v>110000</v>
    <v>45838.698277117968</v>
    <v>688</v>
    <v>8637070</v>
    <v>BRL</v>
    <v>Companhia Brasileira de Distribuição S.A.</v>
    <v>Companhia Brasileira de Distribuição S.A.</v>
    <v>3.04</v>
    <v>3.06</v>
    <v>Avenida Brigadeiro Luis Antonio, 3142, Jardim Paulista, SAO PAULO, SAO PAULO, 01.402-901 BR</v>
    <v>Food &amp; Drug Retailing</v>
    <v>PCAR3</v>
    <v>Ações</v>
    <v>Companhia Brasileira de Distribuição S.A. (BVMF:PCAR3)</v>
    <v>0.01</v>
    <v>3.2790000000000002E-3</v>
    <v>3010700</v>
  </rv>
  <rv s="2">
    <v>689</v>
  </rv>
  <rv s="0">
    <v>https://www.bing.com/financeapi/forcetrigger?t=bwihur&amp;q=BVMF%3aCASH3&amp;form=skydnc</v>
    <v>Learn more on Bing</v>
  </rv>
  <rv s="8">
    <v>pt-BR</v>
    <v>bwihur</v>
    <v>268435456</v>
    <v>1</v>
    <v>Da plataforma Refinitiv</v>
    <v>14</v>
    <v>15</v>
    <v>MÉLIUZ S.A. (BVMF:CASH3)</v>
    <v>12</v>
    <v>16</v>
    <v>Finance</v>
    <v>5</v>
    <v>10.34</v>
    <v>2.4</v>
    <v>BVMF</v>
    <v>112695900</v>
    <v>7.08</v>
    <v>2011</v>
    <v>6.96</v>
    <v>1.8963000000000001</v>
    <v>B3 - Brazil Stock Exchange</v>
    <v>787744341</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7.06</v>
    <v>470</v>
    <v>45838.697923321095</v>
    <v>691</v>
    <v>3007440</v>
    <v>BRL</v>
    <v>MÉLIUZ S.A.</v>
    <v>MÉLIUZ S.A.</v>
    <v>7.02</v>
    <v>6.99</v>
    <v>Rua Jose Versolato, n 111-B Sala 3014, Bairro Carmo, Belo Horizonte, MINAS GERAIS, 30.310-030 BR</v>
    <v>Software &amp; IT Services</v>
    <v>CASH3</v>
    <v>Ações</v>
    <v>MÉLIUZ S.A. (BVMF:CASH3)</v>
    <v>-7.0000000000000007E-2</v>
    <v>-9.9150000000000002E-3</v>
    <v>455300</v>
  </rv>
  <rv s="2">
    <v>692</v>
  </rv>
  <rv s="0">
    <v>https://www.bing.com/financeapi/forcetrigger?t=apmkcw&amp;q=BVMF%3aFHER3&amp;form=skydnc</v>
    <v>Learn more on Bing</v>
  </rv>
  <rv s="8">
    <v>pt-BR</v>
    <v>apmkcw</v>
    <v>268435456</v>
    <v>1</v>
    <v>Da plataforma Refinitiv</v>
    <v>14</v>
    <v>15</v>
    <v>FERTILIZANTES HERINGER S.A. (BVMF:FHER3)</v>
    <v>12</v>
    <v>16</v>
    <v>Finance</v>
    <v>5</v>
    <v>10.5</v>
    <v>3.03</v>
    <v>BVMF</v>
    <v>53857280</v>
    <v>3.85</v>
    <v>1968</v>
    <v>3.79</v>
    <v>0.51029999999999998</v>
    <v>B3 - Brazil Stock Exchange</v>
    <v>207350528</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3.83</v>
    <v>1466</v>
    <v>45838.696145833332</v>
    <v>694</v>
    <v>27250</v>
    <v>BRL</v>
    <v>FERTILIZANTES HERINGER S.A.</v>
    <v>FERTILIZANTES HERINGER S.A.</v>
    <v>3.83</v>
    <v>3.85</v>
    <v>Avenida Irene Karcher, 620, n/a, Betel, PAULINIA, SAO PAULO, 13.148-906 BR</v>
    <v>Chemicals</v>
    <v>FHER3</v>
    <v>Ações</v>
    <v>FERTILIZANTES HERINGER S.A. (BVMF:FHER3)</v>
    <v>0.02</v>
    <v>5.2220000000000001E-3</v>
    <v>1200</v>
  </rv>
  <rv s="2">
    <v>695</v>
  </rv>
  <rv s="0">
    <v>https://www.bing.com/financeapi/forcetrigger?t=apmngh&amp;q=BVMF%3aGFSA3&amp;form=skydnc</v>
    <v>Learn more on Bing</v>
  </rv>
  <rv s="8">
    <v>pt-BR</v>
    <v>apmngh</v>
    <v>268435456</v>
    <v>1</v>
    <v>Da plataforma Refinitiv</v>
    <v>14</v>
    <v>15</v>
    <v>Gafisa S.A. (BVMF:GFSA3)</v>
    <v>12</v>
    <v>16</v>
    <v>Finance</v>
    <v>5</v>
    <v>82.8</v>
    <v>19.61</v>
    <v>BVMF</v>
    <v>6728780</v>
    <v>20.7</v>
    <v>1996</v>
    <v>20.21</v>
    <v>1.8306</v>
    <v>B3 - Brazil Stock Exchange</v>
    <v>137670900</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20.46</v>
    <v>295</v>
    <v>45838.697927765628</v>
    <v>697</v>
    <v>537900</v>
    <v>BRL</v>
    <v>Gafisa S.A.</v>
    <v>Gafisa S.A.</v>
    <v>20.22</v>
    <v>20.5</v>
    <v>Av. Pres. Juscelino Kubitschek, 1830, conjunto comercial 32, 3 andar, Bloco 2, Itaim Bibi, SAO PAULO, SAO PAULO, 04.543-900 BR</v>
    <v>Real Estate Operations</v>
    <v>GFSA3</v>
    <v>Ações</v>
    <v>Gafisa S.A. (BVMF:GFSA3)</v>
    <v>0.04</v>
    <v>1.9550000000000001E-3</v>
    <v>63200</v>
  </rv>
  <rv s="2">
    <v>698</v>
  </rv>
  <rv s="0">
    <v>https://www.bing.com/financeapi/forcetrigger?t=apmr52&amp;q=BVMF%3aHYPE3&amp;form=skydnc</v>
    <v>Learn more on Bing</v>
  </rv>
  <rv s="8">
    <v>pt-BR</v>
    <v>apmr52</v>
    <v>268435456</v>
    <v>1</v>
    <v>Da plataforma Refinitiv</v>
    <v>14</v>
    <v>15</v>
    <v>Hypera S.A. (BVMF:HYPE3)</v>
    <v>12</v>
    <v>16</v>
    <v>Finance</v>
    <v>5</v>
    <v>30.81</v>
    <v>15.94</v>
    <v>BVMF</v>
    <v>633420800</v>
    <v>27.31</v>
    <v>2001</v>
    <v>26.64</v>
    <v>1.1173999999999999</v>
    <v>B3 - Brazil Stock Exchange</v>
    <v>17292387840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26.85</v>
    <v>9000</v>
    <v>45838.698148148149</v>
    <v>700</v>
    <v>4024000</v>
    <v>BRL</v>
    <v>Hypera S.A.</v>
    <v>Hypera S.A.</v>
    <v>26.66</v>
    <v>27.3</v>
    <v>Rua Nova Cidade, 404, Vila Olimpia, SAO PAULO, SAO PAULO, 04.547-070 BR</v>
    <v>Pharmaceuticals</v>
    <v>HYPE3</v>
    <v>Ações</v>
    <v>Hypera S.A. (BVMF:HYPE3)</v>
    <v>0.45</v>
    <v>1.6760000000000001E-2</v>
    <v>551400</v>
  </rv>
  <rv s="2">
    <v>701</v>
  </rv>
  <rv s="0">
    <v>https://www.bing.com/financeapi/forcetrigger?t=bwh3vh&amp;q=BVMF%3aENJU3&amp;form=skydnc</v>
    <v>Learn more on Bing</v>
  </rv>
  <rv s="8">
    <v>pt-BR</v>
    <v>bwh3vh</v>
    <v>268435456</v>
    <v>1</v>
    <v>Da plataforma Refinitiv</v>
    <v>14</v>
    <v>15</v>
    <v>ENJOEI S.A. (BVMF:ENJU3)</v>
    <v>12</v>
    <v>16</v>
    <v>Finance</v>
    <v>5</v>
    <v>2.35</v>
    <v>0.91</v>
    <v>BVMF</v>
    <v>205018000</v>
    <v>1.22</v>
    <v>2012</v>
    <v>1.1599999999999999</v>
    <v>1.782</v>
    <v>B3 - Brazil Stock Exchange</v>
    <v>246021600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1.17</v>
    <v>76</v>
    <v>45838.698344907411</v>
    <v>703</v>
    <v>819800</v>
    <v>BRL</v>
    <v>ENJOEI S.A.</v>
    <v>ENJOEI S.A.</v>
    <v>1.1599999999999999</v>
    <v>1.2</v>
    <v>Av. Presidente Juscelino Kubitschek, 1830 12 Andar, Torre 4, Vila Nova Conceicao, Sao Paulo, SAO PAULO, 04.543-900 BR</v>
    <v>Software &amp; IT Services</v>
    <v>ENJU3</v>
    <v>Ações</v>
    <v>ENJOEI S.A. (BVMF:ENJU3)</v>
    <v>0.03</v>
    <v>2.5640999999999997E-2</v>
    <v>497200</v>
  </rv>
  <rv s="2">
    <v>704</v>
  </rv>
  <rv s="0">
    <v>https://www.bing.com/financeapi/forcetrigger?t=c2yvmw&amp;q=BVMF%3aRAIZ4&amp;form=skydnc</v>
    <v>Learn more on Bing</v>
  </rv>
  <rv s="8">
    <v>pt-BR</v>
    <v>c2yvmw</v>
    <v>268435456</v>
    <v>1</v>
    <v>Da plataforma Refinitiv</v>
    <v>14</v>
    <v>15</v>
    <v>Raízen S.A. (BVMF:RAIZ4)</v>
    <v>12</v>
    <v>16</v>
    <v>Finance</v>
    <v>5</v>
    <v>3.4</v>
    <v>1.59</v>
    <v>BVMF</v>
    <v>1358937000</v>
    <v>1.65</v>
    <v>1961</v>
    <v>1.62</v>
    <v>1.1729000000000001</v>
    <v>B3 - Brazil Stock Exchange</v>
    <v>2215067310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1.63</v>
    <v>45417</v>
    <v>45838.698177303122</v>
    <v>706</v>
    <v>18387100</v>
    <v>BRL</v>
    <v>Raízen S.A.</v>
    <v>Raízen S.A.</v>
    <v>1.63</v>
    <v>1.63</v>
    <v>Avenida Afonso Arinos de Melo Franco, 222. Sala 321, Barra da Tijuca, RIO DE JANEIRO, RIO DE JANEIRO, 22.631-455 BR</v>
    <v>Oil &amp; Gas</v>
    <v>RAIZ4</v>
    <v>Ações</v>
    <v>Raízen S.A. (BVMF:RAIZ4)</v>
    <v>0</v>
    <v>0</v>
    <v>3881000</v>
  </rv>
  <rv s="2">
    <v>707</v>
  </rv>
  <rv s="0">
    <v>https://www.bing.com/financeapi/forcetrigger?t=aplygh&amp;q=BVMF%3aBBAS3&amp;form=skydnc</v>
    <v>Learn more on Bing</v>
  </rv>
  <rv s="8">
    <v>pt-BR</v>
    <v>aplygh</v>
    <v>268435456</v>
    <v>1</v>
    <v>Da plataforma Refinitiv</v>
    <v>14</v>
    <v>15</v>
    <v>Banco do Brasil S.A. (BVMF:BBAS3)</v>
    <v>12</v>
    <v>16</v>
    <v>Finance</v>
    <v>5</v>
    <v>29.49</v>
    <v>21.02</v>
    <v>BVMF</v>
    <v>5730834000</v>
    <v>21.91</v>
    <v>1808</v>
    <v>21.55</v>
    <v>0.95679999999999998</v>
    <v>B3 - Brazil Stock Exchange</v>
    <v>125276031240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21.73</v>
    <v>85953</v>
    <v>45838.698368263278</v>
    <v>709</v>
    <v>29694680</v>
    <v>BRL</v>
    <v>Banco do Brasil S.A.</v>
    <v>Banco do Brasil S.A.</v>
    <v>21.74</v>
    <v>21.86</v>
    <v>Saun Quadra 05, Lote B Ed. BB, Asa Norte, BRASILIA, DISTRITO FEDERAL, 70.040-912 BR</v>
    <v>Banking Services</v>
    <v>BBAS3</v>
    <v>Ações</v>
    <v>Banco do Brasil S.A. (BVMF:BBAS3)</v>
    <v>0.13</v>
    <v>5.9830000000000005E-3</v>
    <v>10071600</v>
  </rv>
  <rv s="2">
    <v>710</v>
  </rv>
  <rv s="0">
    <v>https://www.bing.com/financeapi/forcetrigger?t=apm5tc&amp;q=BVMF%3aEPAR3&amp;form=skydnc</v>
    <v>Learn more on Bing</v>
  </rv>
  <rv s="9">
    <v>pt-BR</v>
    <v>apm5tc</v>
    <v>268435456</v>
    <v>1</v>
    <v>Da plataforma Refinitiv</v>
    <v>17</v>
    <v>18</v>
    <v>EMBPAR PARTICIPAÇÕES S/A (BVMF:EPAR3)</v>
    <v>12</v>
    <v>19</v>
    <v>Finance</v>
    <v>5</v>
    <v>5.3</v>
    <v>3.51</v>
    <v>BVMF</v>
    <v>14860570</v>
    <v>4.96</v>
    <v>1974</v>
    <v>4.9000000000000004</v>
    <v>0.55159999999999998</v>
    <v>B3 - Brazil Stock Exchange</v>
    <v>72816793</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4.9000000000000004</v>
    <v>45838.68566283516</v>
    <v>712</v>
    <v>3300</v>
    <v>BRL</v>
    <v>EMBPAR PARTICIPAÇÕES S/A</v>
    <v>EMBPAR PARTICIPAÇÕES S/A</v>
    <v>4.95</v>
    <v>4.9000000000000004</v>
    <v>Alameda Bom Pastor, 3700,Lote A, Sala 06, Barro Preto, SAO JOSE DOS PINHAIS, PARANA, 83.015-140 BR</v>
    <v>Automobiles &amp; Auto Parts</v>
    <v>EPAR3</v>
    <v>Ações</v>
    <v>EMBPAR PARTICIPAÇÕES S/A (BVMF:EPAR3)</v>
    <v>0</v>
    <v>0</v>
    <v>500</v>
  </rv>
  <rv s="2">
    <v>713</v>
  </rv>
  <rv s="0">
    <v>https://www.bing.com/financeapi/forcetrigger?t=apm7dm&amp;q=BVMF%3aSYNE3&amp;form=skydnc</v>
    <v>Learn more on Bing</v>
  </rv>
  <rv s="9">
    <v>pt-BR</v>
    <v>apm7dm</v>
    <v>268435456</v>
    <v>1</v>
    <v>Da plataforma Refinitiv</v>
    <v>17</v>
    <v>18</v>
    <v>SYN prop e tech S.A. (BVMF:SYNE3)</v>
    <v>12</v>
    <v>19</v>
    <v>Finance</v>
    <v>5</v>
    <v>6.66</v>
    <v>3.45</v>
    <v>BVMF</v>
    <v>152644400</v>
    <v>6.66</v>
    <v>2007</v>
    <v>6.38</v>
    <v>0.73419999999999996</v>
    <v>B3 - Brazil Stock Exchange</v>
    <v>1007453040</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6.4</v>
    <v>45838.698368055557</v>
    <v>715</v>
    <v>376860</v>
    <v>BRL</v>
    <v>SYN prop e tech S.A.</v>
    <v>SYN prop e tech S.A.</v>
    <v>6.44</v>
    <v>6.6</v>
    <v>Avenida Brigadeiro Faria Lima, 3.600 Conj. 141 e 142, Itaim Bibi, SAO PAULO, SAO PAULO, 04.538-132 BR</v>
    <v>Real Estate Operations</v>
    <v>SYNE3</v>
    <v>Ações</v>
    <v>SYN prop e tech S.A. (BVMF:SYNE3)</v>
    <v>0.2</v>
    <v>3.125E-2</v>
    <v>287300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6.19</v>
    <v>2006</v>
    <v>5.87</v>
    <v>1.6227</v>
    <v>B3 - Brazil Stock Exchange</v>
    <v>3472640739</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5.92</v>
    <v>30000</v>
    <v>45838.698374385938</v>
    <v>718</v>
    <v>9369910</v>
    <v>BRL</v>
    <v>MRV ENGENHARIA E PARTICIPACOES S.A.</v>
    <v>MRV ENGENHARIA E PARTICIPACOES S.A.</v>
    <v>5.9</v>
    <v>6.17</v>
    <v>Avenida Professor Mario Werneck,621, Estoril, BELO HORIZONTE, MINAS GERAIS, 30.455-610 BR</v>
    <v>Real Estate Operations</v>
    <v>MRVE3</v>
    <v>Ações</v>
    <v>MRV ENGENHARIA E PARTICIPACOES S.A. (BVMF:MRVE3)</v>
    <v>0.25</v>
    <v>4.2229999999999997E-2</v>
    <v>6126000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7.24</v>
    <v>2014</v>
    <v>6.88</v>
    <v>1.5510999999999999</v>
    <v>B3 - Brazil Stock Exchange</v>
    <v>2456396390</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7.11</v>
    <v>6831</v>
    <v>45838.697974537034</v>
    <v>721</v>
    <v>8649020</v>
    <v>BRL</v>
    <v>Movida Participações S.A.</v>
    <v>Movida Participações S.A.</v>
    <v>7.13</v>
    <v>7.06</v>
    <v>Rua Doutor Renato Paes de Barros, 1017, Conjunto 91, Itaim Bibi, SAO PAULO, SAO PAULO, 04.530-001 BR</v>
    <v>Passenger Transportation Services</v>
    <v>MOVI3</v>
    <v>Ações</v>
    <v>Movida Participações S.A. (BVMF:MOVI3)</v>
    <v>-0.05</v>
    <v>-7.0320000000000001E-3</v>
    <v>4792100</v>
  </rv>
  <rv s="2">
    <v>722</v>
  </rv>
  <rv s="0">
    <v>https://www.bing.com/financeapi/forcetrigger?t=aplxmw&amp;q=BVMF%3aAZEV4&amp;form=skydnc</v>
    <v>Learn more on Bing</v>
  </rv>
  <rv s="9">
    <v>pt-BR</v>
    <v>aplxmw</v>
    <v>268435456</v>
    <v>1</v>
    <v>Da plataforma Refinitiv</v>
    <v>17</v>
    <v>18</v>
    <v>AZEVEDO &amp; TRAVASSOS S.A. (BVMF:AZEV4)</v>
    <v>12</v>
    <v>19</v>
    <v>Finance</v>
    <v>5</v>
    <v>1.91</v>
    <v>0.56999999999999995</v>
    <v>BVMF</v>
    <v>592753700</v>
    <v>0.6</v>
    <v>1922</v>
    <v>0.56999999999999995</v>
    <v>1.0164</v>
    <v>B3 - Brazil Stock Exchange</v>
    <v>323467500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0.59</v>
    <v>45838.698365635937</v>
    <v>724</v>
    <v>1389470</v>
    <v>BRL</v>
    <v>AZEVEDO &amp; TRAVASSOS S.A.</v>
    <v>AZEVEDO &amp; TRAVASSOS S.A.</v>
    <v>0.6</v>
    <v>0.57999999999999996</v>
    <v>Rua Vicente Antonio de Oliveira 1050, Pirituba, SAO PAULO, SAO PAULO, 02.955-080 BR</v>
    <v>Construction &amp; Engineering</v>
    <v>AZEV4</v>
    <v>Ações</v>
    <v>AZEVEDO &amp; TRAVASSOS S.A. (BVMF:AZEV4)</v>
    <v>-0.01</v>
    <v>-1.6949000000000002E-2</v>
    <v>894400</v>
  </rv>
  <rv s="2">
    <v>725</v>
  </rv>
  <rv s="0">
    <v>http://fr.wikipedia.org/wiki/Companhia_Siderúrgica_Nacional</v>
    <v>Wikipedia</v>
  </rv>
  <rv s="10">
    <v>358</v>
    <v>727</v>
  </rv>
  <rv s="11">
    <v>25</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20</v>
    <v>21</v>
    <v>Companhia Siderúrgica Nacional S. A. (BVMF:CSNA3)</v>
    <v>23</v>
    <v>24</v>
    <v>Finance</v>
    <v>5</v>
    <v>13.18</v>
    <v>7.24</v>
    <v>BVMF</v>
    <v>1326094000</v>
    <v>7.52</v>
    <v>1941</v>
    <v>7.39</v>
    <v>1.4514</v>
    <v>B3 - Brazil Stock Exchange</v>
    <v>9945705000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7.5</v>
    <v>24924</v>
    <v>45838.69835648148</v>
    <v>729</v>
    <v>730</v>
    <v>9015690</v>
    <v>BRL</v>
    <v>Companhia Siderúrgica Nacional S. A.</v>
    <v>Companhia Siderúrgica Nacional S. A.</v>
    <v>7.49</v>
    <v>7.5</v>
    <v>Av. Brigadeiro Faria Lima, 3400, 19 andar, Itaim Bibi, SAO PAULO, SAO PAULO, 04.538-132 BR</v>
    <v>Metals &amp; Mining</v>
    <v>CSNA3</v>
    <v>Ações</v>
    <v>Companhia Siderúrgica Nacional S. A. (BVMF:CSNA3)</v>
    <v>0</v>
    <v>0</v>
    <v>2595100</v>
  </rv>
  <rv s="2">
    <v>731</v>
  </rv>
  <rv s="0">
    <v>https://www.bing.com/financeapi/forcetrigger?t=apmdhw&amp;q=BVMF%3aCTNM4&amp;form=skydnc</v>
    <v>Learn more on Bing</v>
  </rv>
  <rv s="17">
    <v>pt-BR</v>
    <v>apmdhw</v>
    <v>268435456</v>
    <v>1</v>
    <v>Da plataforma Refinitiv</v>
    <v>40</v>
    <v>41</v>
    <v>Companhia de Tecidos Norte de Minas - COTEMINAS (BVMF:CTNM4)</v>
    <v>12</v>
    <v>42</v>
    <v>Finance</v>
    <v>5</v>
    <v>1.1000000000000001</v>
    <v>0.65</v>
    <v>BVMF</v>
    <v>30636460</v>
    <v>0.86</v>
    <v>1967</v>
    <v>0.86</v>
    <v>1.1884999999999999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16</v>
    <v>Finance</v>
    <v>5</v>
    <v>0.41</v>
    <v>0.04</v>
    <v>BVMF</v>
    <v>1480408000</v>
    <v>0.06</v>
    <v>2020</v>
    <v>0.05</v>
    <v>2.5089000000000001</v>
    <v>B3 - Brazil Stock Exchange</v>
    <v>74020400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0.05</v>
    <v>2099</v>
    <v>45838.69771990741</v>
    <v>736</v>
    <v>15234100</v>
    <v>BRL</v>
    <v>Infracommerce CXAAS S.A</v>
    <v>Infracommerce CXAAS S.A</v>
    <v>0.05</v>
    <v>0.05</v>
    <v>Av das Nacoes Unidas, 12.901, 32 e 33 andares, Torre Norte CENU, Cidade Moncoes, Sao Paulo, SAO PAULO, 04.578-910 BR</v>
    <v>Software &amp; IT Services</v>
    <v>IFCM3</v>
    <v>Ações</v>
    <v>Infracommerce CXAAS S.A (BVMF:IFCM3)</v>
    <v>0</v>
    <v>0</v>
    <v>1260500</v>
  </rv>
  <rv s="2">
    <v>737</v>
  </rv>
  <rv s="0">
    <v>https://www.bing.com/financeapi/forcetrigger?t=azs2pr&amp;q=BVMF%3aHAPV3&amp;form=skydnc</v>
    <v>Learn more on Bing</v>
  </rv>
  <rv s="9">
    <v>pt-BR</v>
    <v>azs2pr</v>
    <v>268435456</v>
    <v>1</v>
    <v>Da plataforma Refinitiv</v>
    <v>17</v>
    <v>18</v>
    <v>Hapvida Participações e Investimentos S/A (BVMF:HAPV3)</v>
    <v>12</v>
    <v>19</v>
    <v>Finance</v>
    <v>5</v>
    <v>71.25</v>
    <v>29.7</v>
    <v>BVMF</v>
    <v>502630900</v>
    <v>36.979999999999997</v>
    <v>2001</v>
    <v>35.950000000000003</v>
    <v>1.5987</v>
    <v>B3 - Brazil Stock Exchange</v>
    <v>18371159395</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36.270000000000003</v>
    <v>45838.698368055557</v>
    <v>739</v>
    <v>5704800</v>
    <v>BRL</v>
    <v>Hapvida Participações e Investimentos S/A</v>
    <v>Hapvida Participações e Investimentos S/A</v>
    <v>36.06</v>
    <v>36.549999999999997</v>
    <v>Avenida Heraclito Graca n 406, Centro, FORTALEZA, CEARA, 60.140-060 BR</v>
    <v>Healthcare Providers &amp; Services</v>
    <v>HAPV3</v>
    <v>Ações</v>
    <v>Hapvida Participações e Investimentos S/A (BVMF:HAPV3)</v>
    <v>0.28000000000000003</v>
    <v>7.7200000000000003E-3</v>
    <v>1988700</v>
  </rv>
  <rv s="2">
    <v>740</v>
  </rv>
  <rv s="0">
    <v>https://www.bing.com/financeapi/forcetrigger?t=bvtfnm&amp;q=BVMF%3aSEQL3&amp;form=skydnc</v>
    <v>Learn more on Bing</v>
  </rv>
  <rv s="9">
    <v>pt-BR</v>
    <v>bvtfnm</v>
    <v>268435456</v>
    <v>1</v>
    <v>Da plataforma Refinitiv</v>
    <v>17</v>
    <v>18</v>
    <v>SEQUOIA LOGÍSTICA E TRANSPORTES S.A. (BVMF:SEQL3)</v>
    <v>12</v>
    <v>19</v>
    <v>Finance</v>
    <v>5</v>
    <v>9.73</v>
    <v>0.92</v>
    <v>BVMF</v>
    <v>50311580</v>
    <v>0.97</v>
    <v>1996</v>
    <v>0.95</v>
    <v>1.8891</v>
    <v>B3 - Brazil Stock Exchange</v>
    <v>48299116</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0.95</v>
    <v>45838.698140995315</v>
    <v>742</v>
    <v>1012830</v>
    <v>BRL</v>
    <v>SEQUOIA LOGÍSTICA E TRANSPORTES S.A.</v>
    <v>SEQUOIA LOGÍSTICA E TRANSPORTES S.A.</v>
    <v>0.96</v>
    <v>0.96</v>
    <v>Alameda Rio Negro, 500 6 Andar, Sala 601, Alphaville, BARUERI, SAO PAULO, 06.454-000 BR</v>
    <v>Freight &amp; Logistics Services</v>
    <v>SEQL3</v>
    <v>Ações</v>
    <v>SEQUOIA LOGÍSTICA E TRANSPORTES S.A. (BVMF:SEQL3)</v>
    <v>0.01</v>
    <v>1.0526000000000001E-2</v>
    <v>138600</v>
  </rv>
  <rv s="2">
    <v>743</v>
  </rv>
  <rv s="0">
    <v>https://www.bing.com/financeapi/forcetrigger?t=axx6m7&amp;q=BVMF%3aBKBR3&amp;form=skydnc</v>
    <v>Learn more on Bing</v>
  </rv>
  <rv s="8">
    <v>pt-BR</v>
    <v>axx6m7</v>
    <v>268435456</v>
    <v>1</v>
    <v>Da plataforma Refinitiv</v>
    <v>14</v>
    <v>15</v>
    <v>ZAMP S.A. (BVMF:ZAMP3)</v>
    <v>12</v>
    <v>16</v>
    <v>Finance</v>
    <v>5</v>
    <v>3.9</v>
    <v>2.09</v>
    <v>BVMF</v>
    <v>406934400</v>
    <v>3.45</v>
    <v>2011</v>
    <v>3.41</v>
    <v>1.1321000000000001</v>
    <v>B3 - Brazil Stock Exchange</v>
    <v>1399854336</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3.43</v>
    <v>20000</v>
    <v>45838.697955844531</v>
    <v>745</v>
    <v>514940</v>
    <v>BRL</v>
    <v>ZAMP S.A.</v>
    <v>ZAMP S.A.</v>
    <v>3.42</v>
    <v>3.44</v>
    <v>Al Tocantins 350 Andar 10, Alphaville Centro Industrial E Empresarial/Alphavi, BARUERI, SAO PAULO, 06.455-020 BR</v>
    <v>Hotels &amp; Entertainment Services</v>
    <v>ZAMP3</v>
    <v>Ações</v>
    <v>ZAMP S.A. (BVMF:ZAMP3)</v>
    <v>0.01</v>
    <v>2.9149999999999996E-3</v>
    <v>60000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44605950</v>
    <v>1.78</v>
    <v>1968</v>
    <v>1.66</v>
    <v>1.8425</v>
    <v>B3 - Brazil Stock Exchange</v>
    <v>86904610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1.64</v>
    <v>3216</v>
    <v>45838.688043981485</v>
    <v>748</v>
    <v>30000</v>
    <v>BRL</v>
    <v>Inepar S.A. Indústria e Construções - em Recuperação Judicial</v>
    <v>Inepar S.A. Indústria e Construções - em Recuperação Judicial</v>
    <v>1.66</v>
    <v>1.75</v>
    <v>Alameda Dr. Carlos de Carvalho n 373,Cjto. 1101 11 andar, Centro, CURITIBA, PARANA, 80.410-180 BR</v>
    <v>Construction &amp; Engineering</v>
    <v>INEP4</v>
    <v>Ações</v>
    <v>Inepar S.A. Indústria e Construções - em Recuperação Judicial (BVMF:INEP4)</v>
    <v>0.11</v>
    <v>6.7072999999999994E-2</v>
    <v>26400</v>
  </rv>
  <rv s="2">
    <v>749</v>
  </rv>
  <rv s="0">
    <v>https://www.bing.com/financeapi/forcetrigger?t=apn2kr&amp;q=BVMF%3aOIBR3&amp;form=skydnc</v>
    <v>Learn more on Bing</v>
  </rv>
  <rv s="8">
    <v>pt-BR</v>
    <v>apn2kr</v>
    <v>268435456</v>
    <v>1</v>
    <v>Da plataforma Refinitiv</v>
    <v>14</v>
    <v>15</v>
    <v>Oi S.A. – Em Recuperação Judicial (BVMF:OIBR3)</v>
    <v>12</v>
    <v>16</v>
    <v>Finance</v>
    <v>5</v>
    <v>6.62</v>
    <v>0.46</v>
    <v>BVMF</v>
    <v>330121700</v>
    <v>0.65</v>
    <v>1963</v>
    <v>0.63</v>
    <v>1.7779</v>
    <v>B3 - Brazil Stock Exchange</v>
    <v>224810900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0.64</v>
    <v>2600</v>
    <v>45838.698099907029</v>
    <v>751</v>
    <v>50050</v>
    <v>BRL</v>
    <v>Oi S.A. – Em Recuperação Judicial</v>
    <v>Oi S.A. – Em Recuperação Judicial</v>
    <v>0.63</v>
    <v>0.64</v>
    <v>Rua do Lavradio, 71,2 andar, Centro, RIO DE JANEIRO, RIO DE JANEIRO, 20.230-070 BR</v>
    <v>Telecommunications Services</v>
    <v>OIBR3</v>
    <v>Ações</v>
    <v>Oi S.A. – Em Recuperação Judicial (BVMF:OIBR3)</v>
    <v>0</v>
    <v>0</v>
    <v>675900</v>
  </rv>
  <rv s="2">
    <v>752</v>
  </rv>
  <rv s="0">
    <v>https://www.bing.com/financeapi/forcetrigger?t=apmcfr&amp;q=BVMF%3aCSAN3&amp;form=skydnc</v>
    <v>Learn more on Bing</v>
  </rv>
  <rv s="8">
    <v>pt-BR</v>
    <v>apmcfr</v>
    <v>268435456</v>
    <v>1</v>
    <v>Da plataforma Refinitiv</v>
    <v>14</v>
    <v>15</v>
    <v>Cosan S.A (BVMF:CSAN3)</v>
    <v>12</v>
    <v>16</v>
    <v>Finance</v>
    <v>5</v>
    <v>14.45</v>
    <v>6.45</v>
    <v>BVMF</v>
    <v>1866571000</v>
    <v>6.82</v>
    <v>1966</v>
    <v>6.69</v>
    <v>1.2478</v>
    <v>B3 - Brazil Stock Exchange</v>
    <v>12655351380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6.74</v>
    <v>53498</v>
    <v>45838.698397707813</v>
    <v>754</v>
    <v>21638070</v>
    <v>BRL</v>
    <v>Cosan S.A</v>
    <v>Cosan S.A</v>
    <v>6.72</v>
    <v>6.78</v>
    <v>Avenida Brigadeiro Faria Lima, 4.100 16 andar, sala 01, Vila Nova Conceicao, SAO PAULO, SAO PAULO, 04.538-132 BR</v>
    <v>Consumer Goods Conglomerates</v>
    <v>CSAN3</v>
    <v>Ações</v>
    <v>Cosan S.A (BVMF:CSAN3)</v>
    <v>0.04</v>
    <v>5.9350000000000002E-3</v>
    <v>6086400</v>
  </rv>
  <rv s="2">
    <v>755</v>
  </rv>
  <rv s="0">
    <v>https://www.bing.com/financeapi/forcetrigger?t=apm4oc&amp;q=BVMF%3aBRKM3&amp;form=skydnc</v>
    <v>Learn more on Bing</v>
  </rv>
  <rv s="8">
    <v>pt-BR</v>
    <v>apm4oc</v>
    <v>268435456</v>
    <v>1</v>
    <v>Da plataforma Refinitiv</v>
    <v>14</v>
    <v>15</v>
    <v>BRASKEM S.A. (BVMF:BRKM3)</v>
    <v>12</v>
    <v>16</v>
    <v>Finance</v>
    <v>5</v>
    <v>20.86</v>
    <v>9.1199999999999992</v>
    <v>BVMF</v>
    <v>797207800</v>
    <v>9.57</v>
    <v>1972</v>
    <v>9.5</v>
    <v>1.0548999999999999</v>
    <v>B3 - Brazil Stock Exchange</v>
    <v>7379522000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9.5</v>
    <v>8126</v>
    <v>45838.697569444441</v>
    <v>757</v>
    <v>3725820</v>
    <v>BRL</v>
    <v>BRASKEM S.A.</v>
    <v>BRASKEM S.A.</v>
    <v>9.5299999999999994</v>
    <v>9.5500000000000007</v>
    <v>R Eteno 1561, Polo Industrial De Camacari, CAMACARI, BAHIA, 42.816-200 BR</v>
    <v>Chemicals</v>
    <v>BRKM3</v>
    <v>Ações</v>
    <v>BRASKEM S.A. (BVMF:BRKM3)</v>
    <v>0.05</v>
    <v>5.2630000000000003E-3</v>
    <v>8700</v>
  </rv>
  <rv s="2">
    <v>758</v>
  </rv>
  <rv s="0">
    <v>https://www.bing.com/financeapi/forcetrigger?t=apnc7w&amp;q=BVMF%3aSHOW3&amp;form=skydnc</v>
    <v>Learn more on Bing</v>
  </rv>
  <rv s="8">
    <v>pt-BR</v>
    <v>apnc7w</v>
    <v>268435456</v>
    <v>1</v>
    <v>Da plataforma Refinitiv</v>
    <v>14</v>
    <v>15</v>
    <v>T4F ENTRETENIMENTO S.A. (BVMF:SHOW3)</v>
    <v>12</v>
    <v>16</v>
    <v>Finance</v>
    <v>5</v>
    <v>17.899999999999999</v>
    <v>5.99</v>
    <v>BVMF</v>
    <v>67412640</v>
    <v>6.51</v>
    <v>1998</v>
    <v>6.42</v>
    <v>1.8523000000000001</v>
    <v>B3 - Brazil Stock Exchange</v>
    <v>434811528</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6.44</v>
    <v>621</v>
    <v>45838.697905092595</v>
    <v>760</v>
    <v>19750</v>
    <v>BRL</v>
    <v>T4F ENTRETENIMENTO S.A.</v>
    <v>T4F ENTRETENIMENTO S.A.</v>
    <v>6.44</v>
    <v>6.45</v>
    <v>Rua Cristiano Viana, n 401, 15 andar, Pinheiros, SAO PAULO, SAO PAULO, 05.411-000 BR</v>
    <v>Hotels &amp; Entertainment Services</v>
    <v>SHOW3</v>
    <v>Ações</v>
    <v>T4F ENTRETENIMENTO S.A. (BVMF:SHOW3)</v>
    <v>0.01</v>
    <v>1.5529999999999999E-3</v>
    <v>7600</v>
  </rv>
  <rv s="2">
    <v>761</v>
  </rv>
  <rv s="0">
    <v>https://www.bing.com/financeapi/forcetrigger?t=azilm7&amp;q=BVMF%3aAZEV3&amp;form=skydnc</v>
    <v>Learn more on Bing</v>
  </rv>
  <rv s="9">
    <v>pt-BR</v>
    <v>azilm7</v>
    <v>268435456</v>
    <v>1</v>
    <v>Da plataforma Refinitiv</v>
    <v>17</v>
    <v>18</v>
    <v>AZEVEDO &amp; TRAVASSOS S.A. (BVMF:AZEV3)</v>
    <v>12</v>
    <v>19</v>
    <v>Finance</v>
    <v>5</v>
    <v>1.92</v>
    <v>0.41</v>
    <v>BVMF</v>
    <v>592753700</v>
    <v>0.47</v>
    <v>1922</v>
    <v>0.45</v>
    <v>1.0164</v>
    <v>B3 - Brazil Stock Exchange</v>
    <v>323467500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0.46</v>
    <v>45838.697865566406</v>
    <v>763</v>
    <v>1389470</v>
    <v>BRL</v>
    <v>AZEVEDO &amp; TRAVASSOS S.A.</v>
    <v>AZEVEDO &amp; TRAVASSOS S.A.</v>
    <v>0.46</v>
    <v>0.46</v>
    <v>Rua Vicente Antonio de Oliveira 1050, Pirituba, SAO PAULO, SAO PAULO, 02.955-080 BR</v>
    <v>Construction &amp; Engineering</v>
    <v>AZEV3</v>
    <v>Ações</v>
    <v>AZEVEDO &amp; TRAVASSOS S.A. (BVMF:AZEV3)</v>
    <v>0</v>
    <v>0</v>
    <v>567100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154</v>
    <v>2004</v>
    <v>132</v>
    <v>50.042000000000002</v>
    <v>B3 - Brazil Stock Exchange</v>
    <v>329043200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118</v>
    <v>13694</v>
    <v>45838.697905092595</v>
    <v>766</v>
    <v>23547000</v>
    <v>BRL</v>
    <v>Gol Linhas Aéreas Inteligentes S.A.</v>
    <v>Gol Linhas Aéreas Inteligentes S.A.</v>
    <v>146</v>
    <v>148</v>
    <v>Praca Comandante Lineu Gomes S/N, Portaria 3, Jardim Aeroporto, SAO PAULO, SAO PAULO, 04.626-020 BR</v>
    <v>Passenger Transportation Services</v>
    <v>GOLL54</v>
    <v>Ações</v>
    <v>Gol Linhas Aéreas Inteligentes S.A. (BVMF:GOLL54)</v>
    <v>30</v>
    <v>0.25423699999999999</v>
    <v>13563</v>
  </rv>
  <rv s="2">
    <v>767</v>
  </rv>
  <rv s="0">
    <v>https://www.bing.com/financeapi/forcetrigger?t=apnbvh&amp;q=BVMF%3aSEER3&amp;form=skydnc</v>
    <v>Learn more on Bing</v>
  </rv>
  <rv s="8">
    <v>pt-BR</v>
    <v>apnbvh</v>
    <v>268435456</v>
    <v>1</v>
    <v>Da plataforma Refinitiv</v>
    <v>14</v>
    <v>15</v>
    <v>Ser Educacional S.A. (BVMF:SEER3)</v>
    <v>12</v>
    <v>16</v>
    <v>Finance</v>
    <v>5</v>
    <v>10.76</v>
    <v>3.9</v>
    <v>BVMF</v>
    <v>128721600</v>
    <v>9.17</v>
    <v>2002</v>
    <v>8.6999999999999993</v>
    <v>1.7654000000000001</v>
    <v>B3 - Brazil Stock Exchange</v>
    <v>1159781000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9.01</v>
    <v>7800</v>
    <v>45838.69835648148</v>
    <v>769</v>
    <v>578550</v>
    <v>BRL</v>
    <v>Ser Educacional S.A.</v>
    <v>Ser Educacional S.A.</v>
    <v>8.94</v>
    <v>8.7799999999999994</v>
    <v>Av. da Saudade, 254, Santo Amaro, RECIFE, PERNAMBUCO, 50.100-200 BR</v>
    <v>School, College &amp; University</v>
    <v>SEER3</v>
    <v>Ações</v>
    <v>Ser Educacional S.A. (BVMF:SEER3)</v>
    <v>-0.23</v>
    <v>-2.5527000000000001E-2</v>
    <v>745700</v>
  </rv>
  <rv s="2">
    <v>770</v>
  </rv>
  <rv s="0">
    <v>https://www.bing.com/financeapi/forcetrigger?t=apmk77&amp;q=BVMF%3aFESA4&amp;form=skydnc</v>
    <v>Learn more on Bing</v>
  </rv>
  <rv s="8">
    <v>pt-BR</v>
    <v>apmk77</v>
    <v>268435456</v>
    <v>1</v>
    <v>Da plataforma Refinitiv</v>
    <v>14</v>
    <v>15</v>
    <v>Companhia de Ferro Ligas da Bahia (Ferbasa) (BVMF:FESA4)</v>
    <v>12</v>
    <v>16</v>
    <v>Finance</v>
    <v>5</v>
    <v>8.59</v>
    <v>6.57</v>
    <v>BVMF</v>
    <v>353175000</v>
    <v>6.85</v>
    <v>1961</v>
    <v>6.76</v>
    <v>0.3009</v>
    <v>B3 - Brazil Stock Exchange</v>
    <v>2900744000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6.8</v>
    <v>3218</v>
    <v>45838.697893518518</v>
    <v>772</v>
    <v>475080</v>
    <v>BRL</v>
    <v>Companhia de Ferro Ligas da Bahia (Ferbasa)</v>
    <v>Companhia de Ferro Ligas da Bahia (Ferbasa)</v>
    <v>6.8</v>
    <v>6.81</v>
    <v>Estrada de Santiago, s/n, Sede, Santiago, POJUCA, BAHIA, 48.120-000 BR</v>
    <v>Metals &amp; Mining</v>
    <v>FESA4</v>
    <v>Ações</v>
    <v>Companhia de Ferro Ligas da Bahia (Ferbasa) (BVMF:FESA4)</v>
    <v>0.01</v>
    <v>1.4710000000000001E-3</v>
    <v>255800</v>
  </rv>
  <rv s="2">
    <v>773</v>
  </rv>
  <rv s="0">
    <v>https://www.bing.com/financeapi/forcetrigger?t=bvcw52&amp;q=BVMF%3aLJQQ3&amp;form=skydnc</v>
    <v>Learn more on Bing</v>
  </rv>
  <rv s="8">
    <v>pt-BR</v>
    <v>bvcw52</v>
    <v>268435456</v>
    <v>1</v>
    <v>Da plataforma Refinitiv</v>
    <v>14</v>
    <v>15</v>
    <v>Lojas Quero-Quero S.A (BVMF:LJQQ3)</v>
    <v>12</v>
    <v>16</v>
    <v>Finance</v>
    <v>5</v>
    <v>4.34</v>
    <v>1.87</v>
    <v>BVMF</v>
    <v>206917300</v>
    <v>2.63</v>
    <v>1967</v>
    <v>2.5099999999999998</v>
    <v>1.8176000000000001</v>
    <v>B3 - Brazil Stock Exchange</v>
    <v>535915807</v>
    <v>A Lojas Quero-Quero SA possui e opera lojas de varejo de artefatos domésticos em cidades de pequeno e médio porte do Rio Grande do Sul. A empresa foi fundada em 1967 e está localizada em Cachoeirinha, Brasil.</v>
    <v>BVMF</v>
    <v>2.54</v>
    <v>8200</v>
    <v>45838.697933483592</v>
    <v>775</v>
    <v>1803650</v>
    <v>BRL</v>
    <v>Lojas Quero-Quero S.A</v>
    <v>Lojas Quero-Quero S.A</v>
    <v>2.54</v>
    <v>2.59</v>
    <v>Avenida General Flores da Cunha n 1943, Vila Cachoeirinha, CACHOEIRINHA, RIO GRANDE DO SUL, 94.910-003 BR</v>
    <v>Specialty Retailers</v>
    <v>LJQQ3</v>
    <v>Ações</v>
    <v>Lojas Quero-Quero S.A (BVMF:LJQQ3)</v>
    <v>0.05</v>
    <v>1.9684999999999998E-2</v>
    <v>590200</v>
  </rv>
  <rv s="2">
    <v>776</v>
  </rv>
  <rv s="0">
    <v>https://www.bing.com/financeapi/forcetrigger?t=apnkar&amp;q=BVMF%3aVIVR3&amp;form=skydnc</v>
    <v>Learn more on Bing</v>
  </rv>
  <rv s="8">
    <v>pt-BR</v>
    <v>apnkar</v>
    <v>268435456</v>
    <v>1</v>
    <v>Da plataforma Refinitiv</v>
    <v>14</v>
    <v>15</v>
    <v>Viver Incorporadora e Construtora S.A. (BVMF:VIVR3)</v>
    <v>12</v>
    <v>16</v>
    <v>Finance</v>
    <v>5</v>
    <v>2.7</v>
    <v>0.86</v>
    <v>BVMF</v>
    <v>38366080</v>
    <v>0.88</v>
    <v>1992</v>
    <v>0.86</v>
    <v>1.6329</v>
    <v>B3 - Brazil Stock Exchange</v>
    <v>33378489</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0.87</v>
    <v>256</v>
    <v>45838.664502314816</v>
    <v>778</v>
    <v>18770</v>
    <v>BRL</v>
    <v>Viver Incorporadora e Construtora S.A.</v>
    <v>Viver Incorporadora e Construtora S.A.</v>
    <v>0.88</v>
    <v>0.87</v>
    <v>Avenida Brigadeiro Faria Lima, 1.461, 10 andar, Jardim Paulista, SAO PAULO, SAO PAULO, 01.452-921 BR</v>
    <v>Real Estate Operations</v>
    <v>VIVR3</v>
    <v>Ações</v>
    <v>Viver Incorporadora e Construtora S.A. (BVMF:VIVR3)</v>
    <v>0</v>
    <v>0</v>
    <v>3500</v>
  </rv>
  <rv s="2">
    <v>779</v>
  </rv>
  <rv s="0">
    <v>https://www.bing.com/financeapi/forcetrigger?t=apmemw&amp;q=BVMF%3aDASA3&amp;form=skydnc</v>
    <v>Learn more on Bing</v>
  </rv>
  <rv s="8">
    <v>pt-BR</v>
    <v>apmemw</v>
    <v>268435456</v>
    <v>1</v>
    <v>Da plataforma Refinitiv</v>
    <v>14</v>
    <v>15</v>
    <v>Diagnósticos da América S.A (BVMF:DASA3)</v>
    <v>12</v>
    <v>16</v>
    <v>Finance</v>
    <v>5</v>
    <v>4.05</v>
    <v>1.29</v>
    <v>BVMF</v>
    <v>1255007000</v>
    <v>1.34</v>
    <v>1966</v>
    <v>1.29</v>
    <v>1.052</v>
    <v>B3 - Brazil Stock Exchange</v>
    <v>1644059170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1.29</v>
    <v>18142</v>
    <v>45838.697523148148</v>
    <v>781</v>
    <v>1739760</v>
    <v>BRL</v>
    <v>Diagnósticos da América S.A</v>
    <v>Diagnósticos da América S.A</v>
    <v>1.29</v>
    <v>1.31</v>
    <v>Avenida Jurua, 434, Alphaville, BARUERI, SAO PAULO, 06.455-010 BR</v>
    <v>Healthcare Providers &amp; Services</v>
    <v>DASA3</v>
    <v>Ações</v>
    <v>Diagnósticos da América S.A (BVMF:DASA3)</v>
    <v>0.02</v>
    <v>1.5504E-2</v>
    <v>366800</v>
  </rv>
  <rv s="2">
    <v>782</v>
  </rv>
  <rv s="0">
    <v>https://www.bing.com/financeapi/forcetrigger?t=apnakr&amp;q=BVMF%3aRSID3&amp;form=skydnc</v>
    <v>Learn more on Bing</v>
  </rv>
  <rv s="9">
    <v>pt-BR</v>
    <v>apnakr</v>
    <v>268435456</v>
    <v>1</v>
    <v>Da plataforma Refinitiv</v>
    <v>17</v>
    <v>18</v>
    <v>ROSSI RESIDENCIAL S.A. - Em Recuperação Judicial. (BVMF:RSID3)</v>
    <v>12</v>
    <v>19</v>
    <v>Finance</v>
    <v>5</v>
    <v>5.45</v>
    <v>1.65</v>
    <v>BVMF</v>
    <v>20000000</v>
    <v>2.04</v>
    <v>1985</v>
    <v>2.04</v>
    <v>0.73089999999999999</v>
    <v>B3 - Brazil Stock Exchange</v>
    <v>40800000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2.04</v>
    <v>45838.660474537035</v>
    <v>784</v>
    <v>14890</v>
    <v>BRL</v>
    <v>ROSSI RESIDENCIAL S.A. - Em Recuperação Judicial.</v>
    <v>ROSSI RESIDENCIAL S.A. - Em Recuperação Judicial.</v>
    <v>2.04</v>
    <v>2.04</v>
    <v>Rua Henri Dunant, 873 - Conj. 601 a 605 6 andar, Santo Amaro, SAO PAULO, SAO PAULO, 04.709-111 BR</v>
    <v>Real Estate Operations</v>
    <v>RSID3</v>
    <v>Ações</v>
    <v>ROSSI RESIDENCIAL S.A. - Em Recuperação Judicial. (BVMF:RSID3)</v>
    <v>0</v>
    <v>0</v>
    <v>100</v>
  </rv>
  <rv s="2">
    <v>785</v>
  </rv>
  <rv s="0">
    <v>https://www.bing.com/financeapi/forcetrigger?t=apnf8m&amp;q=BVMF%3aTCSA3&amp;form=skydnc</v>
    <v>Learn more on Bing</v>
  </rv>
  <rv s="8">
    <v>pt-BR</v>
    <v>apnf8m</v>
    <v>268435456</v>
    <v>1</v>
    <v>Da plataforma Refinitiv</v>
    <v>14</v>
    <v>15</v>
    <v>TECNISA S.A. (BVMF:TCSA3)</v>
    <v>12</v>
    <v>16</v>
    <v>Finance</v>
    <v>5</v>
    <v>2.5099999999999998</v>
    <v>1.1499999999999999</v>
    <v>BVMF</v>
    <v>90511120</v>
    <v>1.76</v>
    <v>2006</v>
    <v>1.4</v>
    <v>1.5407</v>
    <v>B3 - Brazil Stock Exchange</v>
    <v>157489348</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1.22</v>
    <v>8039</v>
    <v>45838.698321759257</v>
    <v>787</v>
    <v>82150</v>
    <v>BRL</v>
    <v>TECNISA S.A.</v>
    <v>TECNISA S.A.</v>
    <v>1.45</v>
    <v>1.74</v>
    <v>Avenida Nicolas Boer, 399, 5 andar - Unid 502S, Jardim das Perdizes, SAO PAULO, SAO PAULO, 01.140-060 BR</v>
    <v>Real Estate Operations</v>
    <v>TCSA3</v>
    <v>Ações</v>
    <v>TECNISA S.A. (BVMF:TCSA3)</v>
    <v>0.52</v>
    <v>0.42623</v>
    <v>1559700</v>
  </rv>
  <rv s="2">
    <v>788</v>
  </rv>
  <rv s="0">
    <v>https://www.bing.com/financeapi/forcetrigger?t=aplxpr&amp;q=BVMF%3aAZUL4&amp;form=skydnc</v>
    <v>Learn more on Bing</v>
  </rv>
  <rv s="8">
    <v>pt-BR</v>
    <v>aplxpr</v>
    <v>268435456</v>
    <v>1</v>
    <v>Da plataforma Refinitiv</v>
    <v>14</v>
    <v>15</v>
    <v>Azul S.A. (BVMF:AZUL4)</v>
    <v>12</v>
    <v>16</v>
    <v>Finance</v>
    <v>5</v>
    <v>9.2100000000000009</v>
    <v>0.88</v>
    <v>BVMF</v>
    <v>896039700</v>
    <v>0.96</v>
    <v>2008</v>
    <v>0.94</v>
    <v>1.9515</v>
    <v>B3 - Brazil Stock Exchange</v>
    <v>860198112</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0.94</v>
    <v>15367</v>
    <v>45838.69828094844</v>
    <v>790</v>
    <v>22885160</v>
    <v>BRL</v>
    <v>Azul S.A.</v>
    <v>Azul S.A.</v>
    <v>0.94</v>
    <v>0.96</v>
    <v>Av. Marcos P. de U. Rodrigues, 939 - Edif. C. Branco Office Park, Torre Jatoba, 11 andar, Alphaville Industrial, BARUERI, SAO PAULO, 06.460-040 BR</v>
    <v>Passenger Transportation Services</v>
    <v>AZUL4</v>
    <v>Ações</v>
    <v>Azul S.A. (BVMF:AZUL4)</v>
    <v>0.02</v>
    <v>2.1277000000000001E-2</v>
    <v>4455200</v>
  </rv>
  <rv s="2">
    <v>791</v>
  </rv>
  <rv s="0">
    <v>https://www.bing.com/financeapi/forcetrigger?t=c24pbh&amp;q=BVMF%3aDOTZ3&amp;form=skydnc</v>
    <v>Learn more on Bing</v>
  </rv>
  <rv s="8">
    <v>pt-BR</v>
    <v>c24pbh</v>
    <v>268435456</v>
    <v>1</v>
    <v>Da plataforma Refinitiv</v>
    <v>14</v>
    <v>15</v>
    <v>Dotz S.A. (BVMF:DOTZ3)</v>
    <v>12</v>
    <v>16</v>
    <v>Finance</v>
    <v>5</v>
    <v>9.4499999999999993</v>
    <v>2.54</v>
    <v>BVMF</v>
    <v>13321980</v>
    <v>6.95</v>
    <v>2013</v>
    <v>6.52</v>
    <v>1.6533</v>
    <v>B3 - Brazil Stock Exchange</v>
    <v>90189804</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7.01</v>
    <v>226</v>
    <v>45838.698206018518</v>
    <v>793</v>
    <v>19420</v>
    <v>BRL</v>
    <v>Dotz S.A.</v>
    <v>Dotz S.A.</v>
    <v>6.89</v>
    <v>6.77</v>
    <v>R Joaquim Floriano 533 15 andar, Itaim Bibi, Sao Paulo, SAO PAULO, 04.534-011 BR</v>
    <v>Professional &amp; Commercial Services</v>
    <v>DOTZ3</v>
    <v>Ações</v>
    <v>Dotz S.A. (BVMF:DOTZ3)</v>
    <v>-0.24</v>
    <v>-3.4237000000000004E-2</v>
    <v>6900</v>
  </rv>
  <rv s="2">
    <v>794</v>
  </rv>
  <rv s="0">
    <v>https://www.bing.com/financeapi/forcetrigger?t=apn51h&amp;q=BVMF%3aPMAM3&amp;form=skydnc</v>
    <v>Learn more on Bing</v>
  </rv>
  <rv s="8">
    <v>pt-BR</v>
    <v>apn51h</v>
    <v>268435456</v>
    <v>1</v>
    <v>Da plataforma Refinitiv</v>
    <v>14</v>
    <v>15</v>
    <v>PARANAPANEMA S.A - EM RECUPERACAO JUDICIAL (BVMF:PMAM3)</v>
    <v>12</v>
    <v>16</v>
    <v>Finance</v>
    <v>5</v>
    <v>2.71</v>
    <v>0.76</v>
    <v>BVMF</v>
    <v>80329420</v>
    <v>1.84</v>
    <v>1961</v>
    <v>1.78</v>
    <v>1.2706</v>
    <v>B3 - Brazil Stock Exchange</v>
    <v>146199600</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1.82</v>
    <v>2229</v>
    <v>45838.696319444447</v>
    <v>796</v>
    <v>207840</v>
    <v>BRL</v>
    <v>PARANAPANEMA S.A - EM RECUPERACAO JUDICIAL</v>
    <v>PARANAPANEMA S.A - EM RECUPERACAO JUDICIAL</v>
    <v>1.84</v>
    <v>1.83</v>
    <v>Rua Felipe Camarao, 500, Bairro Utinga, SANTO ANDRE, SAO PAULO, 09.220-580 BR</v>
    <v>Metals &amp; Mining</v>
    <v>PMAM3</v>
    <v>Ações</v>
    <v>PARANAPANEMA S.A - EM RECUPERACAO JUDICIAL (BVMF:PMAM3)</v>
    <v>0.01</v>
    <v>5.4949999999999999E-3</v>
    <v>45000</v>
  </rv>
  <rv s="2">
    <v>797</v>
  </rv>
  <rv s="0">
    <v>https://www.bing.com/financeapi/forcetrigger?t=apmvm7&amp;q=BVMF%3aLLIS3&amp;form=skydnc</v>
    <v>Learn more on Bing</v>
  </rv>
  <rv s="8">
    <v>pt-BR</v>
    <v>apmvm7</v>
    <v>268435456</v>
    <v>1</v>
    <v>Da plataforma Refinitiv</v>
    <v>14</v>
    <v>15</v>
    <v>VESTE S.A. ESTILO (BVMF:VSTE3)</v>
    <v>12</v>
    <v>16</v>
    <v>Finance</v>
    <v>5</v>
    <v>17.079999999999998</v>
    <v>5.5</v>
    <v>BVMF</v>
    <v>114333800</v>
    <v>6.07</v>
    <v>1982</v>
    <v>5.91</v>
    <v>1.3461000000000001</v>
    <v>B3 - Brazil Stock Exchange</v>
    <v>686002800</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6.07</v>
    <v>1833</v>
    <v>45838.654128633592</v>
    <v>799</v>
    <v>30920</v>
    <v>BRL</v>
    <v>VESTE S.A. ESTILO</v>
    <v>VESTE S.A. ESTILO</v>
    <v>6</v>
    <v>6</v>
    <v>Rua Othao 405, Vila Leopoldina, SAO PAULO, SAO PAULO, 05.313-020 BR</v>
    <v>Specialty Retailers</v>
    <v>VSTE3</v>
    <v>Ações</v>
    <v>VESTE S.A. ESTILO (BVMF:VSTE3)</v>
    <v>-7.0000000000000007E-2</v>
    <v>-1.1532000000000001E-2</v>
    <v>11600</v>
  </rv>
  <rv s="2">
    <v>800</v>
  </rv>
  <rv s="0">
    <v>https://www.bing.com/financeapi/forcetrigger?t=apmxkr&amp;q=BVMF%3aMGEL4&amp;form=skydnc</v>
    <v>Learn more on Bing</v>
  </rv>
  <rv s="8">
    <v>pt-BR</v>
    <v>apmxkr</v>
    <v>268435456</v>
    <v>1</v>
    <v>Da plataforma Refinitiv</v>
    <v>14</v>
    <v>15</v>
    <v>Mangels Industrial S.A. (BVMF:MGEL4)</v>
    <v>12</v>
    <v>16</v>
    <v>Finance</v>
    <v>5</v>
    <v>13.68</v>
    <v>4.0199999999999996</v>
    <v>BVMF</v>
    <v>5783210</v>
    <v>4.22</v>
    <v>1928</v>
    <v>4.2</v>
    <v>1.2417</v>
    <v>B3 - Brazil Stock Exchange</v>
    <v>14975360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4.03</v>
    <v>3100</v>
    <v>45838.686030092591</v>
    <v>802</v>
    <v>3600</v>
    <v>BRL</v>
    <v>Mangels Industrial S.A.</v>
    <v>Mangels Industrial S.A.</v>
    <v>4.22</v>
    <v>4.2</v>
    <v>Rodovia Fernao Dias, Km 755,6, Distrito Industrial, Tres Coracoes, MINAS GERAIS, 37.418-760 BR</v>
    <v>Metals &amp; Mining</v>
    <v>MGEL4</v>
    <v>Ações</v>
    <v>Mangels Industrial S.A. (BVMF:MGEL4)</v>
    <v>0.17</v>
    <v>4.2183999999999999E-2</v>
    <v>200</v>
  </rv>
  <rv s="2">
    <v>803</v>
  </rv>
  <rv s="0">
    <v>https://www.bing.com/financeapi/forcetrigger?t=apn91h&amp;q=BVMF%3aRCSL3&amp;form=skydnc</v>
    <v>Learn more on Bing</v>
  </rv>
  <rv s="8">
    <v>pt-BR</v>
    <v>apn91h</v>
    <v>268435456</v>
    <v>1</v>
    <v>Da plataforma Refinitiv</v>
    <v>14</v>
    <v>15</v>
    <v>RECRUSUL S.A. (BVMF:RCSL3)</v>
    <v>12</v>
    <v>16</v>
    <v>Finance</v>
    <v>5</v>
    <v>8.57</v>
    <v>2.31</v>
    <v>BVMF</v>
    <v>31822290</v>
    <v>2.4500000000000002</v>
    <v>1954</v>
    <v>2.35</v>
    <v>1.3727</v>
    <v>B3 - Brazil Stock Exchange</v>
    <v>45158910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2.33</v>
    <v>106</v>
    <v>45838.697870370372</v>
    <v>805</v>
    <v>2509250</v>
    <v>BRL</v>
    <v>RECRUSUL S.A.</v>
    <v>RECRUSUL S.A.</v>
    <v>2.35</v>
    <v>2.39</v>
    <v>Av. Luiz Pasteur, 1020, Tres Portos, SAPUCAIA DO SUL, RIO GRANDE DO SUL, 93.212-360 BR</v>
    <v>Automobiles &amp; Auto Parts</v>
    <v>RCSL3</v>
    <v>Ações</v>
    <v>RECRUSUL S.A. (BVMF:RCSL3)</v>
    <v>0.06</v>
    <v>2.5751E-2</v>
    <v>366700</v>
  </rv>
  <rv s="2">
    <v>806</v>
  </rv>
  <rv s="0">
    <v>https://www.bing.com/financeapi/forcetrigger?t=c2vnz2&amp;q=BVMF%3aARML3&amp;form=skydnc</v>
    <v>Learn more on Bing</v>
  </rv>
  <rv s="8">
    <v>pt-BR</v>
    <v>c2vnz2</v>
    <v>268435456</v>
    <v>1</v>
    <v>Da plataforma Refinitiv</v>
    <v>14</v>
    <v>15</v>
    <v>Armac Locação, Logística e Serviços S.A. (BVMF:ARML3)</v>
    <v>12</v>
    <v>16</v>
    <v>Finance</v>
    <v>5</v>
    <v>10.83</v>
    <v>3.37</v>
    <v>BVMF</v>
    <v>346494100</v>
    <v>3.69</v>
    <v>1994</v>
    <v>3.37</v>
    <v>1.4379999999999999</v>
    <v>B3 - Brazil Stock Exchange</v>
    <v>1261239000</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3.64</v>
    <v>6000</v>
    <v>45838.698344907411</v>
    <v>808</v>
    <v>1990180</v>
    <v>BRL</v>
    <v>Armac Locação, Logística e Serviços S.A.</v>
    <v>Armac Locação, Logística e Serviços S.A.</v>
    <v>3.69</v>
    <v>3.42</v>
    <v>Av. Marcos Penteado de Ulhoa Rodrigues, 939, Conj. 701 e 702 Torre II, Ed. Jatoba, Tambore, BARUERI, SAO PAULO, 06.460-040 BR</v>
    <v>Professional &amp; Commercial Services</v>
    <v>ARML3</v>
    <v>Ações</v>
    <v>Armac Locação, Logística e Serviços S.A. (BVMF:ARML3)</v>
    <v>-0.22</v>
    <v>-6.0439999999999994E-2</v>
    <v>7662100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2</v>
    <v>1</v>
    <v>BVMF</v>
    <v>26710360</v>
    <v>1.17</v>
    <v>2000</v>
    <v>1.1399999999999999</v>
    <v>1.597</v>
    <v>B3 - Brazil Stock Exchange</v>
    <v>31251120</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1.1299999999999999</v>
    <v>57370</v>
    <v>45835.806481481479</v>
    <v>811</v>
    <v>14550</v>
    <v>BRL</v>
    <v>ATMA Participações S.A. - Em Recuperação Judicial</v>
    <v>ATMA Participações S.A. - Em Recuperação Judicial</v>
    <v>1.1399999999999999</v>
    <v>1.17</v>
    <v>Rua Beneditinos, n. 15/17, Parte, Centro, RIO DE JANEIRO, RIO DE JANEIRO, 20.081-050 BR</v>
    <v>Professional &amp; Commercial Services</v>
    <v>CTAX3</v>
    <v>Ações</v>
    <v>ATMA Participações S.A. - Em Recuperação Judicial (BVMF:CTAX3)</v>
    <v>0.04</v>
    <v>3.5397999999999999E-2</v>
    <v>200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11.55</v>
    <v>2006</v>
    <v>11.36</v>
    <v>0.68979999999999997</v>
    <v>B3 - Brazil Stock Exchange</v>
    <v>11850760000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11.44</v>
    <v>854</v>
    <v>45838.698136574072</v>
    <v>820</v>
    <v>1674490</v>
    <v>BRL</v>
    <v>Transmissora Aliança de Energia Elétrica S/A</v>
    <v>Transmissora Aliança de Energia Elétrica S/A</v>
    <v>11.44</v>
    <v>11.45</v>
    <v>Av. das Americas, 2480 Bloco 6, Barra da Tijuca, RIO DE JANEIRO, RIO DE JANEIRO, 22.640-101 BR</v>
    <v>Electrical Utilities &amp; IPPs</v>
    <v>TAEE3</v>
    <v>Ações</v>
    <v>Transmissora Aliança de Energia Elétrica S/A (BVMF:TAEE3)</v>
    <v>0.01</v>
    <v>8.7410000000000005E-4</v>
    <v>36500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3">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8</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22</v>
      <v>2</v>
      <v>2</v>
      <v>2</v>
      <v>2</v>
    </spb>
    <spb s="19">
      <v>1</v>
      <v>2</v>
      <v>3</v>
      <v>1</v>
      <v>1</v>
      <v>10</v>
      <v>4</v>
      <v>1</v>
      <v>1</v>
      <v>4</v>
      <v>5</v>
      <v>4</v>
      <v>6</v>
      <v>1</v>
      <v>1</v>
      <v>9</v>
      <v>4</v>
      <v>1</v>
      <v>7</v>
      <v>8</v>
    </spb>
    <spb s="20">
      <v>Da plataforma Refinitiv</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8</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11</v>
      <v>3</v>
      <v>11</v>
      <v>11</v>
      <v>4</v>
      <v>11</v>
      <v>11</v>
      <v>5</v>
      <v>6</v>
      <v>11</v>
      <v>11</v>
      <v>11</v>
      <v>12</v>
      <v>8</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8</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2"/>
    <rSty dxfid="6">
      <rpv i="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5-05-18T00:59:23.38" personId="{D640B68D-0500-4166-965C-1C9AF3D02865}" id="{4667E766-8B13-4963-90C5-00EA494F17EB}">
    <text>luz</text>
  </threadedComment>
  <threadedComment ref="D6" dT="2025-05-18T00:59:33.49" personId="{D640B68D-0500-4166-965C-1C9AF3D02865}" id="{2AADC8A0-6556-4698-82D9-A05745C842B9}">
    <text>advogada</text>
  </threadedComment>
  <threadedComment ref="D9" dT="2025-05-18T00:59:09.07" personId="{D640B68D-0500-4166-965C-1C9AF3D02865}" id="{BE4DD2A2-915F-42AA-97E3-FA51957EC212}">
    <text>agua</text>
  </threadedComment>
  <threadedComment ref="D10" dT="2025-05-18T00:58:59.01" personId="{D640B68D-0500-4166-965C-1C9AF3D02865}" id="{E23C33C0-F13F-40D3-8193-9F914D1BECFB}">
    <text>arthur</text>
  </threadedComment>
  <threadedComment ref="D11" dT="2025-05-18T00:59:44.55" personId="{D640B68D-0500-4166-965C-1C9AF3D02865}" id="{3BC2E484-7B94-4A28-8B52-5CDFA51493D6}">
    <text>jardineiro</text>
  </threadedComment>
  <threadedComment ref="D15" dT="2025-05-18T00:59:55.82" personId="{D640B68D-0500-4166-965C-1C9AF3D02865}" id="{3836E176-CEBF-4836-89EB-BACB6C5313CF}">
    <text>Plano de saúde</text>
  </threadedComment>
  <threadedComment ref="D17" dT="2025-05-25T20:00:01.61" personId="{D640B68D-0500-4166-965C-1C9AF3D02865}" id="{0189F91F-1E42-4E88-9A31-4105B88DFFCF}">
    <text>Ajuste de saldo</text>
  </threadedComment>
  <threadedComment ref="D19" dT="2025-05-18T01:00:07.99" personId="{D640B68D-0500-4166-965C-1C9AF3D02865}" id="{00E2DEF7-96F4-49E3-8AFB-0687B70EE288}">
    <text>internet</text>
  </threadedComment>
  <threadedComment ref="D33" dT="2025-05-18T00:57:57.41" personId="{D640B68D-0500-4166-965C-1C9AF3D02865}" id="{0DC3A145-F2DB-46EF-8872-E1BDFE8C789B}">
    <text>advogado</text>
  </threadedComment>
  <threadedComment ref="D39" dT="2025-05-18T01:24:47.69" personId="{D640B68D-0500-4166-965C-1C9AF3D02865}" id="{1F2ADDFB-5F5F-4AFF-9760-04E7200835DF}">
    <text>Luz</text>
  </threadedComment>
  <threadedComment ref="D40" dT="2025-05-18T01:25:24.67" personId="{D640B68D-0500-4166-965C-1C9AF3D02865}" id="{2ACA77CC-1B03-4186-8567-E1A88A626D08}">
    <text>Agua</text>
  </threadedComment>
  <threadedComment ref="D41" dT="2025-05-18T00:58:37.58" personId="{D640B68D-0500-4166-965C-1C9AF3D02865}" id="{227A6610-7E29-44F1-8F22-F180E7B3F0B8}">
    <text>arthur</text>
  </threadedComment>
  <threadedComment ref="D47" dT="2025-05-18T01:26:10.80" personId="{D640B68D-0500-4166-965C-1C9AF3D02865}" id="{EC25A0D7-A92B-4AA8-82D3-593D8ADB1C1F}">
    <text>internet</text>
  </threadedComment>
  <threadedComment ref="D48" dT="2025-05-18T01:01:19.85" personId="{D640B68D-0500-4166-965C-1C9AF3D02865}" id="{36038BBE-7D50-4DC9-AFAB-B5E40E265C2B}">
    <text>Pano de saúde</text>
  </threadedComment>
  <threadedComment ref="D60" dT="2025-05-18T01:02:19.33" personId="{D640B68D-0500-4166-965C-1C9AF3D02865}" id="{0EBD262C-89AF-4D38-97F8-BB08EEDDF58B}">
    <text>luz</text>
  </threadedComment>
  <threadedComment ref="D61" dT="2025-05-18T01:08:34.61" personId="{D640B68D-0500-4166-965C-1C9AF3D02865}" id="{ED5726E3-E34A-4CDD-A838-60BD8CB7D800}">
    <text xml:space="preserve">Internet
</text>
  </threadedComment>
  <threadedComment ref="D62" dT="2025-05-18T01:09:03.61" personId="{D640B68D-0500-4166-965C-1C9AF3D02865}" id="{790EDA17-8460-4363-B733-BF0326319006}">
    <text>Agua</text>
  </threadedComment>
  <threadedComment ref="D63" dT="2025-05-18T01:07:22.79" personId="{D640B68D-0500-4166-965C-1C9AF3D02865}" id="{0023DB0C-C49E-4E5F-8B32-E73FD4E5BB27}">
    <text xml:space="preserve">Advogado
</text>
  </threadedComment>
  <threadedComment ref="D68" dT="2025-05-18T01:03:35.43" personId="{D640B68D-0500-4166-965C-1C9AF3D02865}" id="{DBBD9465-E39B-4989-A376-AC2A17EBF979}">
    <text>advogada</text>
  </threadedComment>
  <threadedComment ref="D71" dT="2025-05-18T01:03:44.82" personId="{D640B68D-0500-4166-965C-1C9AF3D02865}" id="{5578A74D-4F8E-4EAA-9499-DDB8142D75DB}">
    <text>arthur</text>
  </threadedComment>
  <threadedComment ref="D78" dT="2025-05-18T01:07:43.94" personId="{D640B68D-0500-4166-965C-1C9AF3D02865}" id="{0BF566B3-8EF2-4CEA-B093-0D6EEC5AD4BB}">
    <text>Plano de saúde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filterMode="1"/>
  <dimension ref="A1:FE278"/>
  <sheetViews>
    <sheetView tabSelected="1" topLeftCell="BE4" zoomScale="120" zoomScaleNormal="120" workbookViewId="0">
      <pane xSplit="7" topLeftCell="CA1" activePane="topRight" state="frozen"/>
      <selection activeCell="BE4" sqref="BE4"/>
      <selection pane="topRight" activeCell="DS275" sqref="DS275"/>
    </sheetView>
  </sheetViews>
  <sheetFormatPr defaultColWidth="5.7109375" defaultRowHeight="15" x14ac:dyDescent="0.25"/>
  <cols>
    <col min="1" max="13" width="13.85546875" style="6" hidden="1" customWidth="1"/>
    <col min="14" max="14" width="13" style="6" hidden="1" customWidth="1"/>
    <col min="15" max="15" width="13.85546875" style="6" hidden="1" customWidth="1"/>
    <col min="16" max="16" width="13" style="6" hidden="1" customWidth="1"/>
    <col min="17" max="18" width="13.85546875" style="6" hidden="1" customWidth="1"/>
    <col min="19" max="19" width="13.140625" style="6" hidden="1" customWidth="1"/>
    <col min="20" max="47" width="13.85546875" style="6" hidden="1" customWidth="1"/>
    <col min="48" max="48" width="13" style="6" hidden="1" customWidth="1"/>
    <col min="49" max="53" width="13.85546875" style="6" hidden="1" customWidth="1"/>
    <col min="54" max="54" width="12.5703125" style="6" hidden="1" customWidth="1"/>
    <col min="55" max="55" width="10.7109375" style="6" hidden="1" customWidth="1"/>
    <col min="56" max="56" width="8.85546875" style="6" hidden="1" customWidth="1"/>
    <col min="57" max="57" width="8.7109375" style="6" customWidth="1"/>
    <col min="58" max="61" width="9.85546875" style="6" customWidth="1"/>
    <col min="62" max="62" width="9.28515625" style="6" customWidth="1"/>
    <col min="63" max="63" width="8.140625" style="7" customWidth="1"/>
    <col min="64" max="64" width="9" style="22" customWidth="1"/>
    <col min="65" max="65" width="9" style="7" customWidth="1"/>
    <col min="66" max="66" width="9.140625" style="7" customWidth="1"/>
    <col min="67" max="67" width="3.42578125" style="28" customWidth="1"/>
    <col min="68" max="68" width="7" style="19" customWidth="1"/>
    <col min="69" max="69" width="6.7109375" style="7" hidden="1" customWidth="1"/>
    <col min="70" max="70" width="9" style="7" hidden="1" customWidth="1"/>
    <col min="71" max="71" width="1.5703125" customWidth="1"/>
    <col min="72" max="72" width="7.28515625" style="1" customWidth="1"/>
    <col min="73" max="73" width="7.7109375" style="1" customWidth="1"/>
    <col min="74" max="74" width="2.28515625" style="28" customWidth="1"/>
    <col min="75" max="75" width="7.5703125" style="28" customWidth="1"/>
    <col min="76" max="76" width="1.28515625" customWidth="1"/>
    <col min="77" max="77" width="8.140625" style="8" customWidth="1"/>
    <col min="78" max="78" width="1.85546875" style="28" customWidth="1"/>
    <col min="79" max="79" width="6.85546875" style="17" customWidth="1"/>
    <col min="80" max="80" width="9.42578125" style="17" customWidth="1"/>
    <col min="81" max="81" width="8.5703125" style="17" customWidth="1"/>
    <col min="82" max="82" width="1.85546875" style="17" customWidth="1"/>
    <col min="83" max="83" width="7.28515625" style="1" customWidth="1"/>
    <col min="84" max="84" width="7.42578125" style="1" customWidth="1"/>
    <col min="85" max="85" width="8.140625" style="1" customWidth="1"/>
    <col min="86" max="86" width="1.7109375" customWidth="1"/>
    <col min="87" max="87" width="1.42578125" style="17" customWidth="1"/>
    <col min="88" max="88" width="6.42578125" style="1" customWidth="1"/>
    <col min="89" max="89" width="7" style="1" customWidth="1"/>
    <col min="90" max="90" width="7.28515625" style="1" customWidth="1"/>
    <col min="91" max="91" width="6.85546875" style="1" customWidth="1"/>
    <col min="92" max="92" width="7.7109375" style="1" customWidth="1"/>
    <col min="93" max="94" width="6.85546875" style="1" customWidth="1"/>
    <col min="95" max="95" width="9" style="1" customWidth="1"/>
    <col min="96" max="96" width="10.42578125" style="1" customWidth="1"/>
    <col min="97" max="97" width="9.42578125" style="1" customWidth="1"/>
    <col min="98" max="111" width="8.140625" style="1" customWidth="1"/>
    <col min="112" max="112" width="2.7109375" customWidth="1"/>
    <col min="113" max="113" width="6.7109375" style="1" customWidth="1"/>
    <col min="114" max="114" width="7.28515625" style="1" customWidth="1"/>
    <col min="115" max="115" width="7.5703125" style="1" customWidth="1"/>
    <col min="116" max="116" width="8.7109375" style="1" customWidth="1"/>
    <col min="117" max="117" width="9.28515625" style="1" customWidth="1"/>
    <col min="118" max="118" width="9.140625" style="1" customWidth="1"/>
    <col min="119" max="120" width="1.5703125" style="1" customWidth="1"/>
    <col min="121" max="121" width="8" style="1" customWidth="1"/>
    <col min="122" max="123" width="9.140625" style="1" customWidth="1"/>
    <col min="124" max="124" width="9" style="7" customWidth="1"/>
    <col min="125" max="125" width="5" style="88" customWidth="1"/>
    <col min="126" max="126" width="1.5703125" style="1" customWidth="1"/>
    <col min="127" max="127" width="6" style="1" customWidth="1"/>
    <col min="128" max="128" width="5.7109375" style="1" customWidth="1"/>
    <col min="129" max="129" width="7.140625" style="1" customWidth="1"/>
    <col min="130" max="130" width="1.42578125" style="1" customWidth="1"/>
    <col min="131" max="133" width="5.85546875" style="1" customWidth="1"/>
    <col min="134" max="134" width="5.5703125" style="1" customWidth="1"/>
    <col min="135" max="135" width="1.28515625" style="1" customWidth="1"/>
    <col min="136" max="136" width="1.7109375" style="1" customWidth="1"/>
    <col min="137" max="139" width="2.28515625" style="1" customWidth="1"/>
    <col min="140" max="140" width="12" style="1" customWidth="1"/>
    <col min="141" max="141" width="6.5703125" style="1" customWidth="1"/>
    <col min="142" max="142" width="16.85546875" style="1" customWidth="1"/>
    <col min="143" max="143" width="15.85546875" style="1" customWidth="1"/>
    <col min="144" max="144" width="15.28515625" style="1" customWidth="1"/>
    <col min="145" max="145" width="1.85546875" style="1" customWidth="1"/>
    <col min="146" max="146" width="6.140625" style="1" customWidth="1"/>
    <col min="147" max="147" width="9.28515625" style="1" customWidth="1"/>
    <col min="148" max="148" width="9.140625" style="1" customWidth="1"/>
    <col min="149" max="149" width="10.5703125" customWidth="1"/>
    <col min="150" max="150" width="8.28515625" style="1" customWidth="1"/>
    <col min="151" max="151" width="15.85546875" style="1" customWidth="1"/>
    <col min="152" max="152" width="1.42578125" style="1" customWidth="1"/>
    <col min="153" max="154" width="12.28515625" style="1" customWidth="1"/>
    <col min="155" max="155" width="13.85546875" style="1" customWidth="1"/>
    <col min="156" max="156" width="9" style="1" customWidth="1"/>
    <col min="157" max="157" width="10.28515625" style="1" customWidth="1"/>
    <col min="158" max="158" width="2" customWidth="1"/>
    <col min="159" max="159" width="11.7109375" style="1" customWidth="1"/>
    <col min="160" max="160" width="10.85546875" style="1" customWidth="1"/>
    <col min="161" max="161" width="3.7109375" customWidth="1"/>
    <col min="162" max="162" width="32.7109375" style="1" customWidth="1"/>
    <col min="163" max="163" width="4.28515625" style="1" customWidth="1"/>
    <col min="164" max="16384" width="5.7109375" style="1"/>
  </cols>
  <sheetData>
    <row r="1" spans="1:160" x14ac:dyDescent="0.25">
      <c r="BE1" s="31">
        <v>1.3136687469691128</v>
      </c>
      <c r="BF1" s="31">
        <v>0.69664113256520421</v>
      </c>
      <c r="BG1" s="31">
        <v>0.4</v>
      </c>
      <c r="BH1" s="31">
        <v>0.36</v>
      </c>
      <c r="BI1" s="31">
        <v>0.11</v>
      </c>
      <c r="BJ1" s="31">
        <v>0.11</v>
      </c>
      <c r="BK1" s="79" t="s">
        <v>278</v>
      </c>
      <c r="BQ1" s="79"/>
      <c r="BR1" s="79"/>
    </row>
    <row r="2" spans="1:160" x14ac:dyDescent="0.25">
      <c r="BE2" s="8">
        <v>0</v>
      </c>
      <c r="BF2" s="8">
        <v>-1.6317999999999999E-2</v>
      </c>
      <c r="BG2" s="8">
        <v>1.2742E-2</v>
      </c>
      <c r="BH2" s="8">
        <v>-2.5679999999999995E-3</v>
      </c>
      <c r="BI2" s="8">
        <v>-2.2443000000000001E-2</v>
      </c>
      <c r="BJ2" s="8" cm="1">
        <f t="array" aca="1" ref="BJ2" ca="1">_FV(BK2,"Variação (%)",TRUE)</f>
        <v>1.0680000000000002E-3</v>
      </c>
      <c r="BK2" s="1" t="e" vm="1">
        <v>#VALUE!</v>
      </c>
      <c r="BP2" s="106"/>
      <c r="BQ2" s="1"/>
      <c r="BR2" s="1"/>
      <c r="DT2" s="75">
        <f ca="1">$BJ$4*100</f>
        <v>0.9971000000000001</v>
      </c>
    </row>
    <row r="3" spans="1:160" x14ac:dyDescent="0.25">
      <c r="BE3" s="97">
        <v>137026</v>
      </c>
      <c r="BF3" s="97">
        <v>136102</v>
      </c>
      <c r="BG3" s="97">
        <v>137212</v>
      </c>
      <c r="BH3" s="97">
        <v>137115.82999999999</v>
      </c>
      <c r="BI3" s="97">
        <v>136865.79</v>
      </c>
      <c r="BJ3" s="97" cm="1">
        <f t="array" aca="1" ref="BJ3" ca="1">_FV(BK3,"Preço")</f>
        <v>138230.47</v>
      </c>
      <c r="BK3" s="1" t="e" vm="2">
        <v>#VALUE!</v>
      </c>
      <c r="BO3" s="1"/>
      <c r="BQ3" s="1"/>
      <c r="BR3" s="1"/>
      <c r="BY3" s="8">
        <f ca="1">(BJ3/BG3)-1</f>
        <v>7.4226015217329078E-3</v>
      </c>
      <c r="CE3" s="8"/>
      <c r="DT3" s="75"/>
    </row>
    <row r="4" spans="1:160" x14ac:dyDescent="0.25">
      <c r="BC4" s="8"/>
      <c r="BE4" s="8">
        <v>-1.0879000000000002E-2</v>
      </c>
      <c r="BF4" s="8">
        <v>-9.8559999999999989E-4</v>
      </c>
      <c r="BG4" s="8">
        <v>-4.261E-3</v>
      </c>
      <c r="BH4" s="8">
        <v>-1.2418999999999999E-2</v>
      </c>
      <c r="BI4" s="8">
        <v>-1.8090000000000001E-3</v>
      </c>
      <c r="BJ4" s="8" cm="1">
        <f t="array" aca="1" ref="BJ4" ca="1">_FV(BK3,"Variação (%)",TRUE)</f>
        <v>9.9710000000000007E-3</v>
      </c>
      <c r="BK4" s="1"/>
      <c r="BL4" s="45"/>
      <c r="BM4" s="45"/>
      <c r="BN4" s="45"/>
      <c r="BP4" s="45"/>
      <c r="BQ4" s="1"/>
      <c r="BR4" s="1"/>
      <c r="BT4" s="47"/>
      <c r="BU4" s="47"/>
      <c r="BZ4" s="47"/>
      <c r="CA4" s="47"/>
      <c r="CB4" s="47"/>
      <c r="CC4" s="47"/>
      <c r="CD4" s="47"/>
      <c r="CE4" s="45"/>
      <c r="CF4" s="45"/>
      <c r="CG4" s="45"/>
      <c r="CI4" s="47"/>
      <c r="CJ4" s="47"/>
      <c r="CK4" s="47"/>
      <c r="CL4" s="47"/>
      <c r="CM4" s="47"/>
      <c r="CN4" s="47"/>
      <c r="CO4" s="47"/>
      <c r="CP4" s="47"/>
      <c r="CQ4" s="47"/>
      <c r="CR4" s="47"/>
      <c r="CS4" s="47"/>
      <c r="CT4" s="47"/>
      <c r="CU4" s="47"/>
      <c r="CV4" s="47"/>
      <c r="CW4" s="47"/>
      <c r="CX4" s="47"/>
      <c r="CY4" s="47"/>
      <c r="CZ4" s="47"/>
      <c r="DA4" s="47"/>
      <c r="DB4" s="47"/>
      <c r="DC4" s="47"/>
      <c r="DD4" s="47"/>
      <c r="DE4" s="47"/>
      <c r="DF4" s="47"/>
      <c r="DG4" s="47"/>
      <c r="DH4" s="47"/>
      <c r="DI4" s="28"/>
      <c r="DJ4" s="47"/>
      <c r="DK4" s="47"/>
      <c r="DL4" s="47"/>
      <c r="DM4" s="28"/>
      <c r="DN4" s="8"/>
      <c r="DO4" s="45"/>
      <c r="DP4" s="45"/>
      <c r="DQ4" s="45"/>
      <c r="DR4" s="45"/>
      <c r="DS4" s="45"/>
      <c r="DT4" s="45"/>
      <c r="DU4" s="89"/>
      <c r="DV4" s="45"/>
      <c r="DW4" s="45"/>
      <c r="DX4" s="45"/>
      <c r="DY4" s="45"/>
      <c r="DZ4" s="45"/>
      <c r="EA4" s="8"/>
      <c r="EB4" s="8"/>
      <c r="EC4" s="8"/>
      <c r="ED4" s="45"/>
      <c r="EE4" s="45"/>
      <c r="EF4" s="45"/>
      <c r="EQ4" s="109" t="s">
        <v>482</v>
      </c>
      <c r="ER4" s="109"/>
      <c r="ES4" s="109"/>
      <c r="ET4" s="109"/>
      <c r="EU4" s="109"/>
      <c r="EV4" s="7"/>
      <c r="EW4" s="109" t="s">
        <v>475</v>
      </c>
      <c r="EX4" s="109"/>
      <c r="EY4" s="109"/>
      <c r="EZ4" s="109"/>
      <c r="FA4" s="109"/>
      <c r="FC4" s="109" t="s">
        <v>477</v>
      </c>
      <c r="FD4" s="109"/>
    </row>
    <row r="5" spans="1:160"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60">
        <v>45785</v>
      </c>
      <c r="BC5" s="60">
        <v>45792</v>
      </c>
      <c r="BD5" s="60">
        <v>45800</v>
      </c>
      <c r="BE5" s="60">
        <v>45807</v>
      </c>
      <c r="BF5" s="60">
        <v>45814</v>
      </c>
      <c r="BG5" s="82">
        <v>45821</v>
      </c>
      <c r="BH5" s="60">
        <v>45828</v>
      </c>
      <c r="BI5" s="60">
        <v>45835</v>
      </c>
      <c r="BJ5" s="60" t="s">
        <v>272</v>
      </c>
      <c r="BK5" s="48" t="s">
        <v>484</v>
      </c>
      <c r="BL5" s="61" t="s">
        <v>502</v>
      </c>
      <c r="BM5" s="60" t="s">
        <v>285</v>
      </c>
      <c r="BN5" s="48" t="s">
        <v>285</v>
      </c>
      <c r="BO5" s="3" t="s">
        <v>288</v>
      </c>
      <c r="BP5" s="36" t="s">
        <v>485</v>
      </c>
      <c r="BQ5" s="48" t="s">
        <v>514</v>
      </c>
      <c r="BR5" s="48"/>
      <c r="BT5" s="48" t="s">
        <v>486</v>
      </c>
      <c r="BU5" s="48" t="s">
        <v>487</v>
      </c>
      <c r="BW5" s="74" t="s">
        <v>488</v>
      </c>
      <c r="BY5" s="60" t="s">
        <v>522</v>
      </c>
      <c r="CA5" s="71" t="s">
        <v>490</v>
      </c>
      <c r="CB5" s="71" t="s">
        <v>492</v>
      </c>
      <c r="CC5" s="71" t="s">
        <v>491</v>
      </c>
      <c r="CD5" s="17"/>
      <c r="CE5" s="48" t="s">
        <v>504</v>
      </c>
      <c r="CF5" s="48" t="s">
        <v>503</v>
      </c>
      <c r="CG5" s="48" t="s">
        <v>505</v>
      </c>
      <c r="CI5" s="17"/>
      <c r="CJ5" s="48" t="s">
        <v>493</v>
      </c>
      <c r="CK5" s="48" t="s">
        <v>494</v>
      </c>
      <c r="CL5" s="48" t="s">
        <v>495</v>
      </c>
      <c r="CM5" s="48" t="s">
        <v>496</v>
      </c>
      <c r="CN5" s="48" t="s">
        <v>497</v>
      </c>
      <c r="CO5" s="48" t="s">
        <v>498</v>
      </c>
      <c r="CP5" s="48" t="s">
        <v>499</v>
      </c>
      <c r="CQ5" s="3" t="s">
        <v>500</v>
      </c>
      <c r="CR5" s="3" t="s">
        <v>501</v>
      </c>
      <c r="CS5" s="8" t="s">
        <v>268</v>
      </c>
      <c r="CT5" s="48" t="s">
        <v>275</v>
      </c>
      <c r="CU5" s="36" t="s">
        <v>269</v>
      </c>
      <c r="CV5" s="36" t="s">
        <v>271</v>
      </c>
      <c r="CW5" s="36" t="s">
        <v>270</v>
      </c>
      <c r="CX5" s="36" t="s">
        <v>280</v>
      </c>
      <c r="CY5" s="36" t="s">
        <v>281</v>
      </c>
      <c r="CZ5" s="36" t="s">
        <v>282</v>
      </c>
      <c r="DA5" s="36" t="s">
        <v>284</v>
      </c>
      <c r="DB5" s="36" t="s">
        <v>281</v>
      </c>
      <c r="DC5" s="36" t="s">
        <v>283</v>
      </c>
      <c r="DD5" s="36" t="s">
        <v>270</v>
      </c>
      <c r="DE5" s="36" t="s">
        <v>271</v>
      </c>
      <c r="DF5" s="36" t="s">
        <v>269</v>
      </c>
      <c r="DG5" s="48" t="s">
        <v>275</v>
      </c>
      <c r="DI5" s="48" t="s">
        <v>273</v>
      </c>
      <c r="DJ5" s="48" t="s">
        <v>279</v>
      </c>
      <c r="DK5" s="3" t="s">
        <v>274</v>
      </c>
      <c r="DL5" s="48" t="s">
        <v>276</v>
      </c>
      <c r="DM5" s="48" t="s">
        <v>500</v>
      </c>
      <c r="DN5" s="48" t="s">
        <v>501</v>
      </c>
      <c r="DQ5" s="60" t="s">
        <v>524</v>
      </c>
      <c r="DR5" s="60" t="s">
        <v>524</v>
      </c>
      <c r="DS5" s="60" t="s">
        <v>524</v>
      </c>
      <c r="DT5" s="60" t="s">
        <v>524</v>
      </c>
      <c r="DU5" s="90" t="s">
        <v>513</v>
      </c>
      <c r="DW5" s="20" t="s">
        <v>277</v>
      </c>
      <c r="DX5" s="20" t="s">
        <v>506</v>
      </c>
      <c r="DY5" s="99" t="s">
        <v>507</v>
      </c>
      <c r="DZ5" s="2"/>
      <c r="EA5" s="48" t="s">
        <v>521</v>
      </c>
      <c r="EB5" s="48" t="s">
        <v>521</v>
      </c>
      <c r="EC5" s="48" t="s">
        <v>521</v>
      </c>
      <c r="ED5" s="83" t="s">
        <v>520</v>
      </c>
      <c r="EJ5" s="3" t="s">
        <v>469</v>
      </c>
      <c r="EK5" s="3" t="s">
        <v>292</v>
      </c>
      <c r="EL5" s="3" t="s">
        <v>468</v>
      </c>
      <c r="EM5" s="48" t="s">
        <v>470</v>
      </c>
      <c r="EN5" s="48" t="s">
        <v>470</v>
      </c>
      <c r="EQ5" s="48" t="s">
        <v>479</v>
      </c>
      <c r="ER5" s="48" t="s">
        <v>480</v>
      </c>
      <c r="ES5" s="48" t="s">
        <v>481</v>
      </c>
      <c r="ET5" s="48" t="s">
        <v>292</v>
      </c>
      <c r="EU5" s="48" t="s">
        <v>472</v>
      </c>
      <c r="EW5" s="48" t="s">
        <v>304</v>
      </c>
      <c r="EX5" s="48" t="s">
        <v>476</v>
      </c>
      <c r="EY5" s="48" t="s">
        <v>474</v>
      </c>
      <c r="EZ5" s="48" t="s">
        <v>489</v>
      </c>
      <c r="FA5" s="48" t="s">
        <v>473</v>
      </c>
      <c r="FC5" s="48" t="s">
        <v>478</v>
      </c>
      <c r="FD5" s="48" t="s">
        <v>471</v>
      </c>
    </row>
    <row r="6" spans="1:160" s="2" customFormat="1" ht="11.25" hidden="1"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8">
        <v>8.25</v>
      </c>
      <c r="BC6" s="62">
        <v>8.25</v>
      </c>
      <c r="BD6" s="62">
        <v>8.25</v>
      </c>
      <c r="BE6" s="62">
        <v>8.25</v>
      </c>
      <c r="BF6" s="62">
        <v>8.25</v>
      </c>
      <c r="BG6" s="81">
        <v>8.0500000000000007</v>
      </c>
      <c r="BH6" s="62">
        <v>8.0500000000000007</v>
      </c>
      <c r="BI6" s="62">
        <v>8.0500000000000007</v>
      </c>
      <c r="BJ6" s="62" cm="1">
        <f t="array" aca="1" ref="BJ6" ca="1">_FV(EH6,"Preço")</f>
        <v>8.0500000000000007</v>
      </c>
      <c r="BK6" s="83" t="s">
        <v>3</v>
      </c>
      <c r="BL6" s="44" t="e" cm="1" vm="3">
        <f t="array" ref="BL6">_FV(EH6,"Média de volume",TRUE)</f>
        <v>#VALUE!</v>
      </c>
      <c r="BM6" s="44">
        <v>500</v>
      </c>
      <c r="BN6" s="44" cm="1">
        <f t="array" aca="1" ref="BN6" ca="1">_FV(EH6,"Volume")</f>
        <v>500</v>
      </c>
      <c r="BO6" s="32" cm="1">
        <f t="array" aca="1" ref="BO6" ca="1">_FV(EH6,"Beta")</f>
        <v>0.56799999999999995</v>
      </c>
      <c r="BP6" s="86" cm="1">
        <f t="array" aca="1" ref="BP6" ca="1">_FV(EH6,"Variação (%)",TRUE)</f>
        <v>6.0606E-2</v>
      </c>
      <c r="BQ6" s="48"/>
      <c r="BR6" s="48"/>
      <c r="BT6" s="20" cm="1">
        <f t="array" aca="1" ref="BT6" ca="1">_FV(EH6,"Baixo")</f>
        <v>8.0500000000000007</v>
      </c>
      <c r="BU6" s="20" cm="1">
        <f t="array" aca="1" ref="BU6" ca="1">_FV(EH6,"Alto")</f>
        <v>8.0500000000000007</v>
      </c>
      <c r="BV6" s="32"/>
      <c r="BW6" s="73">
        <f ca="1">SQRT(22.5*(BJ6/VLOOKUP(BK6,Fundamentus!A:U,3,FALSE))*(BJ6/VLOOKUP(BK6,Fundamentus!A:U,4,FALSE)))</f>
        <v>6.9413749095532742</v>
      </c>
      <c r="BY6" s="72">
        <f t="shared" ref="BY6:BY69" ca="1" si="0">(BJ6 - BI6) / BI6</f>
        <v>0</v>
      </c>
      <c r="BZ6" s="8"/>
      <c r="CA6" s="71">
        <f>MIN(A6:BI6)</f>
        <v>8.0500000000000007</v>
      </c>
      <c r="CB6" s="71">
        <f t="shared" ref="CB6:CB69" si="1">MAX(A6:BI6)</f>
        <v>9</v>
      </c>
      <c r="CC6" s="71">
        <f>AVERAGE(A6:BI6)</f>
        <v>8.3442622950819718</v>
      </c>
      <c r="CD6" s="17"/>
      <c r="CE6" s="43">
        <f t="shared" ref="CE6" si="2">CF6-DW6*2</f>
        <v>7.7767949192431587</v>
      </c>
      <c r="CF6" s="18">
        <f>FORECAST("04/07/2025", BF6:BI6, $BF$5:$BI$5)</f>
        <v>7.9500000000000455</v>
      </c>
      <c r="CG6" s="43">
        <f t="shared" ref="CG6" si="3">CF6+DW6*2</f>
        <v>8.1232050807569323</v>
      </c>
      <c r="CI6" s="17"/>
      <c r="CJ6" s="20">
        <f>CA6-2*(CB6-CM6)</f>
        <v>6.783333333333335</v>
      </c>
      <c r="CK6" s="20">
        <f>CM6-(CB6-CA6)</f>
        <v>7.4166666666666679</v>
      </c>
      <c r="CL6" s="20">
        <f>2*CM6-CB6</f>
        <v>7.7333333333333343</v>
      </c>
      <c r="CM6" s="48">
        <f>(CB6+CA6+BI6)/3</f>
        <v>8.3666666666666671</v>
      </c>
      <c r="CN6" s="20">
        <f>2*CM6-CA6</f>
        <v>8.6833333333333336</v>
      </c>
      <c r="CO6" s="20">
        <f>CM6+(CB6-CA6)</f>
        <v>9.3166666666666664</v>
      </c>
      <c r="CP6" s="20">
        <f>CB6+2*(CM6-CA6)</f>
        <v>9.6333333333333329</v>
      </c>
      <c r="CQ6" s="2" cm="1">
        <f t="array" aca="1" ref="CQ6" ca="1">MAX(_xlfn._xlws.FILTER(CJ6:CP6,CJ6:CP6&lt;BJ6))</f>
        <v>7.7333333333333343</v>
      </c>
      <c r="CR6" s="2" cm="1">
        <f t="array" aca="1" ref="CR6" ca="1">MIN(_xlfn._xlws.FILTER($CJ6:$CP6,$CJ6:$CP6&gt;BJ6))</f>
        <v>8.3666666666666671</v>
      </c>
      <c r="CS6" s="19">
        <f ca="1">(CR6/CQ6)-1</f>
        <v>8.18965517241379E-2</v>
      </c>
      <c r="CT6" s="23">
        <f ca="1">-$CS6/2</f>
        <v>-4.094827586206895E-2</v>
      </c>
      <c r="CU6" s="23">
        <f ca="1">-$CS6/3</f>
        <v>-2.7298850574712635E-2</v>
      </c>
      <c r="CV6" s="23">
        <f ca="1">-$CS6/5</f>
        <v>-1.6379310344827581E-2</v>
      </c>
      <c r="CW6" s="23">
        <f ca="1">-$CS6/9</f>
        <v>-9.0996168582375449E-3</v>
      </c>
      <c r="CX6" s="23">
        <f t="shared" ref="CX6:CX7" ca="1" si="4">-$CS6/17</f>
        <v>-4.8174442190669353E-3</v>
      </c>
      <c r="CY6" s="23">
        <f t="shared" ref="CY6:CY7" ca="1" si="5">-$CS6/33</f>
        <v>-2.4817136886102396E-3</v>
      </c>
      <c r="CZ6" s="23">
        <f t="shared" ref="CZ6:CZ7" ca="1" si="6">-$CS6/65</f>
        <v>-1.2599469496021216E-3</v>
      </c>
      <c r="DA6" s="24">
        <f t="shared" ref="DA6:DA7" ca="1" si="7">-$CS6/65*-1</f>
        <v>1.2599469496021216E-3</v>
      </c>
      <c r="DB6" s="24">
        <f t="shared" ref="DB6:DB7" ca="1" si="8">-$CS6/33*-1</f>
        <v>2.4817136886102396E-3</v>
      </c>
      <c r="DC6" s="24">
        <f t="shared" ref="DC6:DC7" ca="1" si="9">-$CS6/17*-1</f>
        <v>4.8174442190669353E-3</v>
      </c>
      <c r="DD6" s="24">
        <f ca="1">-$CS6/9*-1</f>
        <v>9.0996168582375449E-3</v>
      </c>
      <c r="DE6" s="24">
        <f ca="1">-$CS6/5*-1</f>
        <v>1.6379310344827581E-2</v>
      </c>
      <c r="DF6" s="24">
        <f ca="1">-$CS6/3*-1</f>
        <v>2.7298850574712635E-2</v>
      </c>
      <c r="DG6" s="24">
        <f ca="1">-$CS6/2*-1</f>
        <v>4.094827586206895E-2</v>
      </c>
      <c r="DI6" s="19" cm="1">
        <f t="array" aca="1" ref="DI6" ca="1">MAX(_xlfn._xlws.FILTER(CT6:DG6,CT6:DG6&lt;BP6))</f>
        <v>4.094827586206895E-2</v>
      </c>
      <c r="DJ6" s="19" t="e" cm="1" vm="4">
        <f t="array" aca="1" ref="DJ6" ca="1">MIN(_xlfn._xlws.FILTER(CT6:DG6,CT6:DG6&gt;BP6))</f>
        <v>#VALUE!</v>
      </c>
      <c r="DK6" s="2" cm="1">
        <f t="array" aca="1" ref="DK6" ca="1">_FV(EH6,"Fechamento anterior",TRUE)</f>
        <v>7.59</v>
      </c>
      <c r="DL6" s="36" t="e" vm="5">
        <f ca="1">(BJ6-DM6)/(DN6-DM6)</f>
        <v>#VALUE!</v>
      </c>
      <c r="DM6" s="18">
        <f t="shared" ref="DM6:DM13" ca="1" si="10">DK6+(DK6*DI6)</f>
        <v>7.9007974137931036</v>
      </c>
      <c r="DN6" s="18" t="e" vm="5">
        <f t="shared" ref="DN6:DN13" ca="1" si="11">DK6+(DK6*DJ6)</f>
        <v>#VALUE!</v>
      </c>
      <c r="DO6" s="9"/>
      <c r="DP6" s="9"/>
      <c r="DQ6" s="93">
        <v>9.4641029532515632E-4</v>
      </c>
      <c r="DR6" s="93">
        <v>9.4641029532515632E-4</v>
      </c>
      <c r="DS6" s="93" t="e" vm="5">
        <v>#VALUE!</v>
      </c>
      <c r="DT6" s="93" t="e" vm="5">
        <f t="shared" ref="DT6:DT69" ca="1" si="12">DJ6-DI6</f>
        <v>#VALUE!</v>
      </c>
      <c r="DU6" s="87">
        <f ca="1">(BJ6-CF6)/(CF6-CE6)</f>
        <v>0.57735026918937049</v>
      </c>
      <c r="DV6" s="46"/>
      <c r="DW6" s="43">
        <f>_xlfn.STDEV.P(BF6:BI6)</f>
        <v>8.660254037844356E-2</v>
      </c>
      <c r="DX6" s="76">
        <f ca="1">BO6-$DT$2</f>
        <v>-0.42910000000000015</v>
      </c>
      <c r="DY6" s="76">
        <f ca="1">BO6-BP6*100</f>
        <v>-5.4926000000000004</v>
      </c>
      <c r="DZ6" s="101"/>
      <c r="EA6" s="100">
        <v>6.3593000000000002</v>
      </c>
      <c r="EB6" s="107">
        <v>7.3025000000000002</v>
      </c>
      <c r="EC6" s="107">
        <v>6.2415000000000003</v>
      </c>
      <c r="ED6" s="98">
        <f t="shared" ref="ED6:ED69" ca="1" si="13">DX6-DY6</f>
        <v>5.0635000000000003</v>
      </c>
      <c r="EE6" s="66"/>
      <c r="EF6" s="66"/>
      <c r="EH6" s="2" t="e" vm="6">
        <v>#VALUE!</v>
      </c>
      <c r="EJ6" s="10" cm="1">
        <f t="array" aca="1" ref="EJ6" ca="1">_FV(EH6,"Ações em circulação",TRUE)</f>
        <v>4453440</v>
      </c>
      <c r="EK6" s="21">
        <f>VLOOKUP(BK6,Fundamentus!A:U,5,FALSE)</f>
        <v>1.593</v>
      </c>
      <c r="EL6" s="2">
        <f ca="1">(BJ6*EJ6)/EK6</f>
        <v>22504828.625235405</v>
      </c>
      <c r="EM6" s="20">
        <v>3909088.7322033895</v>
      </c>
      <c r="EN6" s="20">
        <f t="shared" ref="EN6:EN69" ca="1" si="14">EL6*EZ6</f>
        <v>3909088.7322033895</v>
      </c>
      <c r="EP6" s="19">
        <f t="shared" ref="EP6:EP65" ca="1" si="15">(EN6/EM6)-1</f>
        <v>0</v>
      </c>
      <c r="EQ6" s="55" t="str">
        <f>IF(VLOOKUP(BK6,Fundamentus!A:U,3,FALSE)&lt;15,"Bom",IF(VLOOKUP(BK6,Fundamentus!A:U,3,FALSE)&gt;15,"Ruim","n/a"))</f>
        <v>Bom</v>
      </c>
      <c r="ER6" s="56" t="str">
        <f>IF(VLOOKUP(BK6,Fundamentus!A:U,4,FALSE)&lt;1,"Baixo",IF(VLOOKUP(BK6,Fundamentus!A:U,4,FALSE)&lt;1.5,"Moderado",IF(VLOOKUP(BK6,Fundamentus!A:U,4,FALSE)&gt;1.5,"Alto","n/a")))</f>
        <v>Alto</v>
      </c>
      <c r="ES6" s="38" t="str">
        <f>IF(VLOOKUP(BK6,Fundamentus!A:U,8,FALSE)&lt;0,"Risco elevado",IF(VLOOKUP(BK6,Fundamentus!A:U,8,FALSE)&lt;1,"Saudável",IF(VLOOKUP(BK6,Fundamentus!A:U,8,FALSE)&lt;3,"Estável",IF(VLOOKUP(BK6,Fundamentus!A:U,8,FALSE)&gt;3,"Alerta","n/a"))))</f>
        <v>Alerta</v>
      </c>
      <c r="ET6" s="56" t="str">
        <f t="shared" ref="ET6:ET69" si="16">IF(EK6&gt;1,"Bom","Ruim")</f>
        <v>Bom</v>
      </c>
      <c r="EU6" s="38" t="str">
        <f>IF(VLOOKUP(BK6,Fundamentus!A:U,12,FALSE)&lt;2,"Subvalorizada",IF(VLOOKUP(BK6,Fundamentus!A:U,12,FALSE)&lt;6,"Muita barata",IF(VLOOKUP(BK6,Fundamentus!A:U,12,FALSE)&lt;6,"Barata",IF(VLOOKUP(BK6,Fundamentus!A:U,12,FALSE)&lt;8,"Atrativa",IF(VLOOKUP(BK6,Fundamentus!A:U,12,FALSE)&gt;8,"Supervalorizada","n/a")))))</f>
        <v>Atrativa</v>
      </c>
      <c r="EW6" s="38" t="str">
        <f>IF(VLOOKUP(BK6,Fundamentus!A:U,17,FALSE)&lt;0.1,"Fraco retorno",IF(VLOOKUP(BK6,Fundamentus!A:U,17,FALSE)&gt;0.1,"Bom retorno","n/a"))</f>
        <v>Bom retorno</v>
      </c>
      <c r="EX6" s="38" t="str">
        <f>IF(VLOOKUP(BK6,Fundamentus!A:U,16,FALSE)&lt;0.1,"Ineficiente",IF(VLOOKUP(BK6,Fundamentus!A:U,16,FALSE)&gt;0.1,"Eficiente","n/a"))</f>
        <v>Eficiente</v>
      </c>
      <c r="EY6" s="57" t="str">
        <f>IF(VLOOKUP(BK6,Fundamentus!A:U,16,FALSE)&lt;0.1,"Oper.Ineficiente",IF(VLOOKUP(BK6,Fundamentus!A:U,16,FALSE)&gt;0.1,"Oper.Eficiente","n/a"))</f>
        <v>Oper.Eficiente</v>
      </c>
      <c r="EZ6" s="58">
        <f>VLOOKUP(BK6,Fundamentus!A:U,14,FALSE)</f>
        <v>0.17369999999999999</v>
      </c>
      <c r="FA6" s="38" t="str">
        <f>IF(VLOOKUP(BK6,Fundamentus!A:U,21,FALSE)&lt;0,"Negativo",IF(VLOOKUP(BK6,Fundamentus!A:U,21,FALSE)&lt;0.05,"Fraco",IF(VLOOKUP(BK6,Fundamentus!A:U,21,FALSE)&lt;0.1,"Bom",IF(VLOOKUP(BK6,Fundamentus!A:U,21,FALSE)&gt;0.1,"Muito bom","n/a"))))</f>
        <v>Muito bom</v>
      </c>
      <c r="FC6" s="39" t="str">
        <f>IF(VLOOKUP(BK6,Fundamentus!A:U,15,FALSE)&gt;1,"Bom",IF(VLOOKUP(BK6,Fundamentus!A:U,15,FALSE)&lt;1,"Ruim","n/a"))</f>
        <v>Bom</v>
      </c>
      <c r="FD6" s="38" t="str">
        <f>IF(VLOOKUP(BK6,Fundamentus!A:U,20,FALSE)&lt;0.5,"Baixa",IF(VLOOKUP(BK6,Fundamentus!A:U,20,FALSE)&lt;1,"Moderada",IF(VLOOKUP(BK6,Fundamentus!A:U,20,FALSE)&lt;2,"Alerta",IF(VLOOKUP(BK6,Fundamentus!A:U,20,FALSE)&gt;2,"Alta","n/a"))))</f>
        <v>Alerta</v>
      </c>
    </row>
    <row r="7" spans="1:160" s="2" customFormat="1" ht="11.25" hidden="1"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8">
        <v>26.4</v>
      </c>
      <c r="BC7" s="62">
        <v>26.68</v>
      </c>
      <c r="BD7" s="62">
        <v>26.99</v>
      </c>
      <c r="BE7" s="62">
        <v>27.58</v>
      </c>
      <c r="BF7" s="62">
        <v>27.49</v>
      </c>
      <c r="BG7" s="81">
        <v>29.05</v>
      </c>
      <c r="BH7" s="62">
        <v>28.76</v>
      </c>
      <c r="BI7" s="62">
        <v>28.38</v>
      </c>
      <c r="BJ7" s="62" cm="1">
        <f t="array" aca="1" ref="BJ7" ca="1">_FV(EH7,"Preço")</f>
        <v>28.12</v>
      </c>
      <c r="BK7" s="83" t="s">
        <v>4</v>
      </c>
      <c r="BL7" s="44" cm="1">
        <f t="array" aca="1" ref="BL7" ca="1">_FV(EH7,"Média de volume",TRUE)</f>
        <v>9240</v>
      </c>
      <c r="BM7" s="44">
        <v>6300</v>
      </c>
      <c r="BN7" s="44" cm="1">
        <f t="array" aca="1" ref="BN7" ca="1">_FV(EH7,"Volume")</f>
        <v>1100</v>
      </c>
      <c r="BO7" s="32" cm="1">
        <f t="array" aca="1" ref="BO7" ca="1">_FV(EH7,"Beta")</f>
        <v>0.51719999999999999</v>
      </c>
      <c r="BP7" s="86" cm="1">
        <f t="array" aca="1" ref="BP7" ca="1">_FV(EH7,"Variação (%)",TRUE)</f>
        <v>-9.1610000000000007E-3</v>
      </c>
      <c r="BQ7" s="48"/>
      <c r="BR7" s="48"/>
      <c r="BT7" s="20" cm="1">
        <f t="array" aca="1" ref="BT7" ca="1">_FV(EH7,"Baixo")</f>
        <v>28.12</v>
      </c>
      <c r="BU7" s="20" cm="1">
        <f t="array" aca="1" ref="BU7" ca="1">_FV(EH7,"Alto")</f>
        <v>29.01</v>
      </c>
      <c r="BV7" s="32"/>
      <c r="BW7" s="73">
        <f ca="1">SQRT(22.5*(BJ7/VLOOKUP(BK7,Fundamentus!A:U,3,FALSE))*(BJ7/VLOOKUP(BK7,Fundamentus!A:U,4,FALSE)))</f>
        <v>69.959773395416349</v>
      </c>
      <c r="BY7" s="72">
        <f t="shared" ca="1" si="0"/>
        <v>-9.1613812544044399E-3</v>
      </c>
      <c r="BZ7" s="8"/>
      <c r="CA7" s="71">
        <f t="shared" ref="CA7:CA13" si="17">MIN(A7:BI7)</f>
        <v>24.1</v>
      </c>
      <c r="CB7" s="71">
        <f t="shared" si="1"/>
        <v>29.05</v>
      </c>
      <c r="CC7" s="71">
        <f t="shared" ref="CC7:CC13" si="18">AVERAGE(A7:BI7)</f>
        <v>26.058524590163945</v>
      </c>
      <c r="CD7" s="17"/>
      <c r="CE7" s="43">
        <f t="shared" ref="CE7:CE70" si="19">CF7-DW7*2</f>
        <v>27.840691692952923</v>
      </c>
      <c r="CF7" s="18">
        <f>FORECAST("04/07/2025", BF7:BI7, $BF$5:$BI$5)</f>
        <v>29.0150000000001</v>
      </c>
      <c r="CG7" s="43">
        <f t="shared" ref="CG7:CG70" si="20">CF7+DW7*2</f>
        <v>30.189308307047277</v>
      </c>
      <c r="CI7" s="17"/>
      <c r="CJ7" s="20">
        <f>CA7-2*(CB7-CM7)</f>
        <v>20.353333333333332</v>
      </c>
      <c r="CK7" s="20">
        <f>CM7-(CB7-CA7)</f>
        <v>22.226666666666667</v>
      </c>
      <c r="CL7" s="20">
        <f>2*CM7-CB7</f>
        <v>25.303333333333331</v>
      </c>
      <c r="CM7" s="48">
        <f>(CB7+CA7+BI7)/3</f>
        <v>27.176666666666666</v>
      </c>
      <c r="CN7" s="20">
        <f>2*CM7-CA7</f>
        <v>30.25333333333333</v>
      </c>
      <c r="CO7" s="20">
        <f>CM7+(CB7-CA7)</f>
        <v>32.126666666666665</v>
      </c>
      <c r="CP7" s="20">
        <f>CB7+2*(CM7-CA7)</f>
        <v>35.203333333333333</v>
      </c>
      <c r="CQ7" s="2" cm="1">
        <f t="array" aca="1" ref="CQ7" ca="1">MAX(_xlfn._xlws.FILTER(CJ7:CP7,CJ7:CP7&lt;BJ7))</f>
        <v>27.176666666666666</v>
      </c>
      <c r="CR7" s="2" cm="1">
        <f t="array" aca="1" ref="CR7" ca="1">MIN(_xlfn._xlws.FILTER($CJ7:$CP7,$CJ7:$CP7&gt;BJ7))</f>
        <v>30.25333333333333</v>
      </c>
      <c r="CS7" s="19">
        <f t="shared" ref="CS7:CS13" ca="1" si="21">(CR7/CQ7)-1</f>
        <v>0.11320986140071132</v>
      </c>
      <c r="CT7" s="23">
        <f t="shared" ref="CT7:CT13" ca="1" si="22">-$CS7/2</f>
        <v>-5.660493070035566E-2</v>
      </c>
      <c r="CU7" s="23">
        <f t="shared" ref="CU7:CU13" ca="1" si="23">-$CS7/3</f>
        <v>-3.7736620466903771E-2</v>
      </c>
      <c r="CV7" s="23">
        <f t="shared" ref="CV7:CV13" ca="1" si="24">-$CS7/5</f>
        <v>-2.2641972280142263E-2</v>
      </c>
      <c r="CW7" s="23">
        <f t="shared" ref="CW7:CW13" ca="1" si="25">-$CS7/9</f>
        <v>-1.2578873488967924E-2</v>
      </c>
      <c r="CX7" s="23">
        <f t="shared" ca="1" si="4"/>
        <v>-6.6594036118065485E-3</v>
      </c>
      <c r="CY7" s="23">
        <f t="shared" ca="1" si="5"/>
        <v>-3.4306018606276158E-3</v>
      </c>
      <c r="CZ7" s="23">
        <f t="shared" ca="1" si="6"/>
        <v>-1.7416901753955587E-3</v>
      </c>
      <c r="DA7" s="24">
        <f t="shared" ca="1" si="7"/>
        <v>1.7416901753955587E-3</v>
      </c>
      <c r="DB7" s="24">
        <f t="shared" ca="1" si="8"/>
        <v>3.4306018606276158E-3</v>
      </c>
      <c r="DC7" s="24">
        <f t="shared" ca="1" si="9"/>
        <v>6.6594036118065485E-3</v>
      </c>
      <c r="DD7" s="24">
        <f t="shared" ref="DD7:DD13" ca="1" si="26">-$CS7/9*-1</f>
        <v>1.2578873488967924E-2</v>
      </c>
      <c r="DE7" s="24">
        <f t="shared" ref="DE7:DE13" ca="1" si="27">-$CS7/5*-1</f>
        <v>2.2641972280142263E-2</v>
      </c>
      <c r="DF7" s="24">
        <f t="shared" ref="DF7:DF13" ca="1" si="28">-$CS7/3*-1</f>
        <v>3.7736620466903771E-2</v>
      </c>
      <c r="DG7" s="24">
        <f t="shared" ref="DG7:DG13" ca="1" si="29">-$CS7/2*-1</f>
        <v>5.660493070035566E-2</v>
      </c>
      <c r="DI7" s="19" cm="1">
        <f t="array" aca="1" ref="DI7" ca="1">MAX(_xlfn._xlws.FILTER(CT7:DG7,CT7:DG7&lt;BP7))</f>
        <v>-1.2578873488967924E-2</v>
      </c>
      <c r="DJ7" s="19" cm="1">
        <f t="array" aca="1" ref="DJ7" ca="1">MIN(_xlfn._xlws.FILTER(CT7:DG7,CT7:DG7&gt;BP7))</f>
        <v>-6.6594036118065485E-3</v>
      </c>
      <c r="DK7" s="2" cm="1">
        <f t="array" aca="1" ref="DK7" ca="1">_FV(EH7,"Fechamento anterior",TRUE)</f>
        <v>28.38</v>
      </c>
      <c r="DL7" s="36">
        <f ca="1">(BJ7-DM7)/(DN7-DM7)</f>
        <v>0.57733079236519003</v>
      </c>
      <c r="DM7" s="18">
        <f t="shared" ca="1" si="10"/>
        <v>28.02301157038309</v>
      </c>
      <c r="DN7" s="18">
        <f t="shared" ca="1" si="11"/>
        <v>28.19100612549693</v>
      </c>
      <c r="DO7" s="9"/>
      <c r="DP7" s="9"/>
      <c r="DQ7" s="94">
        <v>1.2349397590361438E-2</v>
      </c>
      <c r="DR7" s="94">
        <v>2.8498609823911008E-3</v>
      </c>
      <c r="DS7" s="94">
        <v>3.4349506225848005E-3</v>
      </c>
      <c r="DT7" s="94">
        <f t="shared" ca="1" si="12"/>
        <v>5.9194698771613758E-3</v>
      </c>
      <c r="DU7" s="87">
        <f ca="1">(BJ7-CF7)/(CF7-CE7)</f>
        <v>-0.7621507866623165</v>
      </c>
      <c r="DV7" s="46"/>
      <c r="DW7" s="43">
        <f>_xlfn.STDEV.P(BF7:BI7)</f>
        <v>0.58715415352358802</v>
      </c>
      <c r="DX7" s="76">
        <f ca="1">BO7-$DT$2</f>
        <v>-0.4799000000000001</v>
      </c>
      <c r="DY7" s="76">
        <f ca="1">BO7-BP7*100</f>
        <v>1.4333</v>
      </c>
      <c r="DZ7" s="101"/>
      <c r="EA7" s="100">
        <v>-1.1399999999999855E-2</v>
      </c>
      <c r="EB7" s="107">
        <v>0.6543000000000001</v>
      </c>
      <c r="EC7" s="107">
        <v>-0.48409999999999997</v>
      </c>
      <c r="ED7" s="98">
        <f t="shared" ca="1" si="13"/>
        <v>-1.9132000000000002</v>
      </c>
      <c r="EE7" s="66"/>
      <c r="EF7" s="66"/>
      <c r="EH7" s="2" t="e" vm="7">
        <v>#VALUE!</v>
      </c>
      <c r="EJ7" s="10" cm="1">
        <f t="array" aca="1" ref="EJ7" ca="1">_FV(EH7,"Ações em circulação",TRUE)</f>
        <v>20585620</v>
      </c>
      <c r="EK7" s="21">
        <f>VLOOKUP(BK7,Fundamentus!A:U,5,FALSE)</f>
        <v>0.81299999999999994</v>
      </c>
      <c r="EL7" s="2">
        <f ca="1">(BJ7*EJ7)/EK7</f>
        <v>712014310.45510459</v>
      </c>
      <c r="EM7" s="20">
        <v>101106690.4193358</v>
      </c>
      <c r="EN7" s="20">
        <f t="shared" ca="1" si="14"/>
        <v>100180413.48103321</v>
      </c>
      <c r="EP7" s="19">
        <f t="shared" ca="1" si="15"/>
        <v>-9.161381254404577E-3</v>
      </c>
      <c r="EQ7" s="40" t="str">
        <f>IF(VLOOKUP(BK7,Fundamentus!A:U,3,FALSE)&lt;15,"Bom",IF(VLOOKUP(BK7,Fundamentus!A:U,3,FALSE)&gt;15,"Ruim","n/a"))</f>
        <v>Bom</v>
      </c>
      <c r="ER7" s="36" t="str">
        <f>IF(VLOOKUP(BK7,Fundamentus!A:U,4,FALSE)&lt;1,"Baixo",IF(VLOOKUP(BK7,Fundamentus!A:U,4,FALSE)&lt;1.5,"Moderado",IF(VLOOKUP(BK7,Fundamentus!A:U,4,FALSE)&gt;1.5,"Alto","n/a")))</f>
        <v>Baixo</v>
      </c>
      <c r="ES7" s="20" t="str">
        <f>IF(VLOOKUP(BK7,Fundamentus!A:U,8,FALSE)&lt;0,"Risco elevado",IF(VLOOKUP(BK7,Fundamentus!A:U,8,FALSE)&lt;1,"Saudável",IF(VLOOKUP(BK7,Fundamentus!A:U,8,FALSE)&lt;3,"Estável",IF(VLOOKUP(BK7,Fundamentus!A:U,8,FALSE)&gt;3,"Alerta","n/a"))))</f>
        <v>Estável</v>
      </c>
      <c r="ET7" s="36" t="str">
        <f t="shared" si="16"/>
        <v>Ruim</v>
      </c>
      <c r="EU7" s="20" t="str">
        <f>IF(VLOOKUP(BK7,Fundamentus!A:U,12,FALSE)&lt;2,"Subvalorizada",IF(VLOOKUP(BK7,Fundamentus!A:U,12,FALSE)&lt;6,"Muita barata",IF(VLOOKUP(BK7,Fundamentus!A:U,12,FALSE)&lt;6,"Barata",IF(VLOOKUP(BK7,Fundamentus!A:U,12,FALSE)&lt;8,"Atrativa",IF(VLOOKUP(BK7,Fundamentus!A:U,12,FALSE)&gt;8,"Supervalorizada","n/a")))))</f>
        <v>Muita barata</v>
      </c>
      <c r="EW7" s="20" t="str">
        <f>IF(VLOOKUP(BK7,Fundamentus!A:U,17,FALSE)&lt;0.1,"Fraco retorno",IF(VLOOKUP(BK7,Fundamentus!A:U,17,FALSE)&gt;0.1,"Bom retorno","n/a"))</f>
        <v>Bom retorno</v>
      </c>
      <c r="EX7" s="20" t="str">
        <f>IF(VLOOKUP(BK7,Fundamentus!A:U,16,FALSE)&lt;0.1,"Ineficiente",IF(VLOOKUP(BK7,Fundamentus!A:U,16,FALSE)&gt;0.1,"Eficiente","n/a"))</f>
        <v>Ineficiente</v>
      </c>
      <c r="EY7" s="41" t="str">
        <f>IF(VLOOKUP(BK7,Fundamentus!A:U,16,FALSE)&lt;0.1,"Oper. Ineficiente",IF(VLOOKUP(BK7,Fundamentus!A:U,16,FALSE)&gt;0.1,"Oper.Eficiente","n/a"))</f>
        <v>Oper. Ineficiente</v>
      </c>
      <c r="EZ7" s="42">
        <f>VLOOKUP(BK7,Fundamentus!A:U,14,FALSE)</f>
        <v>0.14069999999999999</v>
      </c>
      <c r="FA7" s="20" t="str">
        <f>IF(VLOOKUP(BK7,Fundamentus!A:U,21,FALSE)&lt;0,"Negativo",IF(VLOOKUP(BK7,Fundamentus!A:U,21,FALSE)&lt;0.05,"Fraco",IF(VLOOKUP(BK7,Fundamentus!A:U,21,FALSE)&lt;0.1,"Bom",IF(VLOOKUP(BK7,Fundamentus!A:U,21,FALSE)&gt;0.1,"Muito bom","n/a"))))</f>
        <v>Muito bom</v>
      </c>
      <c r="FC7" s="37" t="str">
        <f>IF(VLOOKUP(BK7,Fundamentus!A:U,15,FALSE)&gt;1,"Bom",IF(VLOOKUP(BK7,Fundamentus!A:U,15,FALSE)&lt;1,"Ruim","n/a"))</f>
        <v>Bom</v>
      </c>
      <c r="FD7" s="20" t="str">
        <f>IF(VLOOKUP(BK7,Fundamentus!A:U,20,FALSE)&lt;0.5,"Baixa",IF(VLOOKUP(BK7,Fundamentus!A:U,20,FALSE)&lt;1,"Moderada",IF(VLOOKUP(BK7,Fundamentus!A:U,20,FALSE)&lt;2,"Alerta",IF(VLOOKUP(BK7,Fundamentus!A:U,20,FALSE)&gt;2,"Alta","n/a"))))</f>
        <v>Baixa</v>
      </c>
    </row>
    <row r="8" spans="1:160" s="2" customFormat="1" ht="11.25" hidden="1"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8">
        <v>22.87</v>
      </c>
      <c r="BC8" s="62">
        <v>23.42</v>
      </c>
      <c r="BD8" s="62">
        <v>23.5</v>
      </c>
      <c r="BE8" s="62">
        <v>23.4</v>
      </c>
      <c r="BF8" s="62">
        <v>23.14</v>
      </c>
      <c r="BG8" s="81">
        <v>23.12</v>
      </c>
      <c r="BH8" s="62">
        <v>23.03</v>
      </c>
      <c r="BI8" s="62">
        <v>22.79</v>
      </c>
      <c r="BJ8" s="62" cm="1">
        <f t="array" aca="1" ref="BJ8" ca="1">_FV(EH8,"Preço")</f>
        <v>23.04</v>
      </c>
      <c r="BK8" s="83" t="s">
        <v>5</v>
      </c>
      <c r="BL8" s="44" cm="1">
        <f t="array" aca="1" ref="BL8" ca="1">_FV(EH8,"Média de volume",TRUE)</f>
        <v>1349020</v>
      </c>
      <c r="BM8" s="44">
        <v>1282400</v>
      </c>
      <c r="BN8" s="44" cm="1">
        <f t="array" aca="1" ref="BN8" ca="1">_FV(EH8,"Volume")</f>
        <v>433300</v>
      </c>
      <c r="BO8" s="32" cm="1">
        <f t="array" aca="1" ref="BO8" ca="1">_FV(EH8,"Beta")</f>
        <v>0.71230000000000004</v>
      </c>
      <c r="BP8" s="86" cm="1">
        <f t="array" aca="1" ref="BP8" ca="1">_FV(EH8,"Variação (%)",TRUE)</f>
        <v>1.0970000000000001E-2</v>
      </c>
      <c r="BQ8" s="48"/>
      <c r="BR8" s="48"/>
      <c r="BT8" s="20" cm="1">
        <f t="array" aca="1" ref="BT8" ca="1">_FV(EH8,"Baixo")</f>
        <v>22.78</v>
      </c>
      <c r="BU8" s="20" cm="1">
        <f t="array" aca="1" ref="BU8" ca="1">_FV(EH8,"Alto")</f>
        <v>23.15</v>
      </c>
      <c r="BV8" s="32"/>
      <c r="BW8" s="73">
        <f ca="1">SQRT(22.5*(BJ8/VLOOKUP(BK8,Fundamentus!A:U,3,FALSE))*(BJ8/VLOOKUP(BK8,Fundamentus!A:U,4,FALSE)))</f>
        <v>61.070175014867978</v>
      </c>
      <c r="BY8" s="72">
        <f t="shared" ca="1" si="0"/>
        <v>1.0969723562966214E-2</v>
      </c>
      <c r="BZ8" s="8"/>
      <c r="CA8" s="71">
        <f t="shared" si="17"/>
        <v>22.1</v>
      </c>
      <c r="CB8" s="71">
        <f t="shared" si="1"/>
        <v>27.09</v>
      </c>
      <c r="CC8" s="71">
        <f t="shared" si="18"/>
        <v>24.115409836065581</v>
      </c>
      <c r="CD8" s="17"/>
      <c r="CE8" s="43">
        <f t="shared" si="19"/>
        <v>22.456791445135142</v>
      </c>
      <c r="CF8" s="18">
        <f>FORECAST("04/07/2025", BF8:BI8, $BF$5:$BI$5)</f>
        <v>22.735000000000014</v>
      </c>
      <c r="CG8" s="43">
        <f t="shared" si="20"/>
        <v>23.013208554864885</v>
      </c>
      <c r="CI8" s="17"/>
      <c r="CJ8" s="20">
        <f>CA8-2*(CB8-CM8)</f>
        <v>15.906666666666659</v>
      </c>
      <c r="CK8" s="20">
        <f>CM8-(CB8-CA8)</f>
        <v>19.00333333333333</v>
      </c>
      <c r="CL8" s="20">
        <f>2*CM8-CB8</f>
        <v>20.896666666666658</v>
      </c>
      <c r="CM8" s="48">
        <f>(CB8+CA8+BI8)/3</f>
        <v>23.993333333333329</v>
      </c>
      <c r="CN8" s="20">
        <f>2*CM8-CA8</f>
        <v>25.886666666666656</v>
      </c>
      <c r="CO8" s="20">
        <f>CM8+(CB8-CA8)</f>
        <v>28.983333333333327</v>
      </c>
      <c r="CP8" s="20">
        <f>CB8+2*(CM8-CA8)</f>
        <v>30.876666666666654</v>
      </c>
      <c r="CQ8" s="2" cm="1">
        <f t="array" aca="1" ref="CQ8" ca="1">MAX(_xlfn._xlws.FILTER(CJ8:CP8,CJ8:CP8&lt;BJ8))</f>
        <v>20.896666666666658</v>
      </c>
      <c r="CR8" s="2" cm="1">
        <f t="array" aca="1" ref="CR8" ca="1">MIN(_xlfn._xlws.FILTER($CJ8:$CP8,$CJ8:$CP8&gt;BJ8))</f>
        <v>23.993333333333329</v>
      </c>
      <c r="CS8" s="19">
        <f t="shared" ca="1" si="21"/>
        <v>0.14818950390811958</v>
      </c>
      <c r="CT8" s="23">
        <f t="shared" ca="1" si="22"/>
        <v>-7.409475195405979E-2</v>
      </c>
      <c r="CU8" s="23">
        <f t="shared" ca="1" si="23"/>
        <v>-4.9396501302706529E-2</v>
      </c>
      <c r="CV8" s="23">
        <f t="shared" ca="1" si="24"/>
        <v>-2.9637900781623917E-2</v>
      </c>
      <c r="CW8" s="23">
        <f t="shared" ca="1" si="25"/>
        <v>-1.646550043423551E-2</v>
      </c>
      <c r="CX8" s="23">
        <f ca="1">-$CS8/17</f>
        <v>-8.7170296416540921E-3</v>
      </c>
      <c r="CY8" s="23">
        <f ca="1">-$CS8/33</f>
        <v>-4.490591027518775E-3</v>
      </c>
      <c r="CZ8" s="23">
        <f ca="1">-$CS8/65</f>
        <v>-2.279838521663378E-3</v>
      </c>
      <c r="DA8" s="24">
        <f ca="1">-$CS8/65*-1</f>
        <v>2.279838521663378E-3</v>
      </c>
      <c r="DB8" s="24">
        <f ca="1">-$CS8/33*-1</f>
        <v>4.490591027518775E-3</v>
      </c>
      <c r="DC8" s="24">
        <f ca="1">-$CS8/17*-1</f>
        <v>8.7170296416540921E-3</v>
      </c>
      <c r="DD8" s="24">
        <f t="shared" ca="1" si="26"/>
        <v>1.646550043423551E-2</v>
      </c>
      <c r="DE8" s="24">
        <f t="shared" ca="1" si="27"/>
        <v>2.9637900781623917E-2</v>
      </c>
      <c r="DF8" s="24">
        <f t="shared" ca="1" si="28"/>
        <v>4.9396501302706529E-2</v>
      </c>
      <c r="DG8" s="24">
        <f t="shared" ca="1" si="29"/>
        <v>7.409475195405979E-2</v>
      </c>
      <c r="DI8" s="19" cm="1">
        <f t="array" aca="1" ref="DI8" ca="1">MAX(_xlfn._xlws.FILTER(CT8:DG8,CT8:DG8&lt;BP8))</f>
        <v>8.7170296416540921E-3</v>
      </c>
      <c r="DJ8" s="19" cm="1">
        <f t="array" aca="1" ref="DJ8" ca="1">MIN(_xlfn._xlws.FILTER(CT8:DG8,CT8:DG8&gt;BP8))</f>
        <v>1.646550043423551E-2</v>
      </c>
      <c r="DK8" s="2" cm="1">
        <f t="array" aca="1" ref="DK8" ca="1">_FV(EH8,"Fechamento anterior",TRUE)</f>
        <v>22.79</v>
      </c>
      <c r="DL8" s="36">
        <f ca="1">(BJ8-DM8)/(DN8-DM8)</f>
        <v>0.2907275489079606</v>
      </c>
      <c r="DM8" s="18">
        <f t="shared" ca="1" si="10"/>
        <v>22.988661105533296</v>
      </c>
      <c r="DN8" s="18">
        <f t="shared" ca="1" si="11"/>
        <v>23.165248754896226</v>
      </c>
      <c r="DO8" s="9"/>
      <c r="DP8" s="9"/>
      <c r="DQ8" s="94">
        <v>4.5201705062647519E-3</v>
      </c>
      <c r="DR8" s="94">
        <v>1.2896710255636496E-3</v>
      </c>
      <c r="DS8" s="94">
        <v>4.351891202719926E-3</v>
      </c>
      <c r="DT8" s="94">
        <f t="shared" ca="1" si="12"/>
        <v>7.7484707925814175E-3</v>
      </c>
      <c r="DU8" s="87">
        <f ca="1">(BJ8-CF8)/(CF8-CE8)</f>
        <v>1.0962998609015697</v>
      </c>
      <c r="DV8" s="46"/>
      <c r="DW8" s="43">
        <f>_xlfn.STDEV.P(BF8:BI8)</f>
        <v>0.13910427743243622</v>
      </c>
      <c r="DX8" s="76">
        <f ca="1">BO8-$DT$2</f>
        <v>-0.28480000000000005</v>
      </c>
      <c r="DY8" s="76">
        <f ca="1">BO8-BP8*100</f>
        <v>-0.38469999999999993</v>
      </c>
      <c r="DZ8" s="101"/>
      <c r="EA8" s="100">
        <v>0.46939999999999993</v>
      </c>
      <c r="EB8" s="107">
        <v>-0.63280000000000003</v>
      </c>
      <c r="EC8" s="107">
        <v>-0.51629999999999998</v>
      </c>
      <c r="ED8" s="98">
        <f t="shared" ca="1" si="13"/>
        <v>9.9899999999999878E-2</v>
      </c>
      <c r="EE8" s="66"/>
      <c r="EF8" s="66"/>
      <c r="EH8" s="2" t="e" vm="8">
        <v>#VALUE!</v>
      </c>
      <c r="EJ8" s="10" cm="1">
        <f t="array" aca="1" ref="EJ8" ca="1">_FV(EH8,"Ações em circulação",TRUE)</f>
        <v>658883300</v>
      </c>
      <c r="EK8" s="21">
        <f>VLOOKUP(BK8,Fundamentus!A:U,5,FALSE)</f>
        <v>1.8129999999999999</v>
      </c>
      <c r="EL8" s="2">
        <f ca="1">(BJ8*EJ8)/EK8</f>
        <v>8373232891.3403206</v>
      </c>
      <c r="EM8" s="20">
        <v>3570532940.1311088</v>
      </c>
      <c r="EN8" s="20">
        <f t="shared" ca="1" si="14"/>
        <v>3609700699.4568119</v>
      </c>
      <c r="EP8" s="19">
        <f t="shared" ca="1" si="15"/>
        <v>1.0969723562966216E-2</v>
      </c>
      <c r="EQ8" s="40" t="str">
        <f>IF(VLOOKUP(BK8,Fundamentus!A:U,3,FALSE)&lt;15,"Bom",IF(VLOOKUP(BK8,Fundamentus!A:U,3,FALSE)&gt;15,"Ruim","n/a"))</f>
        <v>Bom</v>
      </c>
      <c r="ER8" s="36" t="str">
        <f>IF(VLOOKUP(BK8,Fundamentus!A:U,4,FALSE)&lt;1,"Baixo",IF(VLOOKUP(BK8,Fundamentus!A:U,4,FALSE)&lt;1.5,"Moderado",IF(VLOOKUP(BK8,Fundamentus!A:U,4,FALSE)&gt;1.5,"Alto","n/a")))</f>
        <v>Baixo</v>
      </c>
      <c r="ES8" s="20" t="str">
        <f>IF(VLOOKUP(BK8,Fundamentus!A:U,8,FALSE)&lt;0,"Risco elevado",IF(VLOOKUP(BK8,Fundamentus!A:U,8,FALSE)&lt;1,"Saudável",IF(VLOOKUP(BK8,Fundamentus!A:U,8,FALSE)&lt;3,"Estável",IF(VLOOKUP(BK8,Fundamentus!A:U,8,FALSE)&gt;3,"Alerta","n/a"))))</f>
        <v>Estável</v>
      </c>
      <c r="ET8" s="36" t="str">
        <f t="shared" si="16"/>
        <v>Bom</v>
      </c>
      <c r="EU8" s="20" t="str">
        <f>IF(VLOOKUP(BK8,Fundamentus!A:U,12,FALSE)&lt;2,"Subvalorizada",IF(VLOOKUP(BK8,Fundamentus!A:U,12,FALSE)&lt;6,"Muita barata",IF(VLOOKUP(BK8,Fundamentus!A:U,12,FALSE)&lt;6,"Barata",IF(VLOOKUP(BK8,Fundamentus!A:U,12,FALSE)&lt;8,"Atrativa",IF(VLOOKUP(BK8,Fundamentus!A:U,12,FALSE)&gt;8,"Supervalorizada","n/a")))))</f>
        <v>Muita barata</v>
      </c>
      <c r="EW8" s="20" t="str">
        <f>IF(VLOOKUP(BK8,Fundamentus!A:U,17,FALSE)&lt;0.1,"Fraco retorno",IF(VLOOKUP(BK8,Fundamentus!A:U,17,FALSE)&gt;0.1,"Bom retorno","n/a"))</f>
        <v>Bom retorno</v>
      </c>
      <c r="EX8" s="20" t="str">
        <f>IF(VLOOKUP(BK8,Fundamentus!A:U,16,FALSE)&lt;0.1,"Ineficiente",IF(VLOOKUP(BK8,Fundamentus!A:U,16,FALSE)&gt;0.1,"Eficiente","n/a"))</f>
        <v>Eficiente</v>
      </c>
      <c r="EY8" s="41" t="str">
        <f>IF(VLOOKUP(BK8,Fundamentus!A:U,16,FALSE)&lt;0.1,"Oper. Ineficiente",IF(VLOOKUP(BK8,Fundamentus!A:U,16,FALSE)&gt;0.1,"Oper.Eficiente","n/a"))</f>
        <v>Oper.Eficiente</v>
      </c>
      <c r="EZ8" s="42">
        <f>VLOOKUP(BK8,Fundamentus!A:U,14,FALSE)</f>
        <v>0.43109999999999998</v>
      </c>
      <c r="FA8" s="20" t="str">
        <f>IF(VLOOKUP(BK8,Fundamentus!A:U,21,FALSE)&lt;0,"Negativo",IF(VLOOKUP(BK8,Fundamentus!A:U,21,FALSE)&lt;0.05,"Fraco",IF(VLOOKUP(BK8,Fundamentus!A:U,21,FALSE)&lt;0.1,"Bom",IF(VLOOKUP(BK8,Fundamentus!A:U,21,FALSE)&gt;0.1,"Muito bom","n/a"))))</f>
        <v>Muito bom</v>
      </c>
      <c r="FC8" s="37" t="str">
        <f>IF(VLOOKUP(BK8,Fundamentus!A:U,15,FALSE)&gt;1,"Bom",IF(VLOOKUP(BK8,Fundamentus!A:U,15,FALSE)&lt;1,"Ruim","n/a"))</f>
        <v>Bom</v>
      </c>
      <c r="FD8" s="20" t="str">
        <f>IF(VLOOKUP(BK8,Fundamentus!A:U,20,FALSE)&lt;0.5,"Baixa",IF(VLOOKUP(BK8,Fundamentus!A:U,20,FALSE)&lt;1,"Moderada",IF(VLOOKUP(BK8,Fundamentus!A:U,20,FALSE)&lt;2,"Alerta",IF(VLOOKUP(BK8,Fundamentus!A:U,20,FALSE)&gt;2,"Alta","n/a"))))</f>
        <v>Moderada</v>
      </c>
    </row>
    <row r="9" spans="1:160" s="2" customFormat="1" ht="11.25" hidden="1"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8">
        <v>8.73</v>
      </c>
      <c r="BC9" s="62">
        <v>8.52</v>
      </c>
      <c r="BD9" s="62">
        <v>8.77</v>
      </c>
      <c r="BE9" s="62">
        <v>8.64</v>
      </c>
      <c r="BF9" s="62">
        <v>8.56</v>
      </c>
      <c r="BG9" s="81">
        <v>8.58</v>
      </c>
      <c r="BH9" s="62">
        <v>8.42</v>
      </c>
      <c r="BI9" s="62">
        <v>8.49</v>
      </c>
      <c r="BJ9" s="62" cm="1">
        <f t="array" aca="1" ref="BJ9" ca="1">_FV(EH9,"Preço")</f>
        <v>8.51</v>
      </c>
      <c r="BK9" s="83" t="s">
        <v>6</v>
      </c>
      <c r="BL9" s="44" cm="1">
        <f t="array" aca="1" ref="BL9" ca="1">_FV(EH9,"Média de volume",TRUE)</f>
        <v>9850</v>
      </c>
      <c r="BM9" s="44">
        <v>3900</v>
      </c>
      <c r="BN9" s="44" cm="1">
        <f t="array" aca="1" ref="BN9" ca="1">_FV(EH9,"Volume")</f>
        <v>6700</v>
      </c>
      <c r="BO9" s="32" cm="1">
        <f t="array" aca="1" ref="BO9" ca="1">_FV(EH9,"Beta")</f>
        <v>0.42130000000000001</v>
      </c>
      <c r="BP9" s="86" cm="1">
        <f t="array" aca="1" ref="BP9" ca="1">_FV(EH9,"Variação (%)",TRUE)</f>
        <v>2.356E-3</v>
      </c>
      <c r="BQ9" s="48"/>
      <c r="BR9" s="48"/>
      <c r="BT9" s="20" cm="1">
        <f t="array" aca="1" ref="BT9" ca="1">_FV(EH9,"Baixo")</f>
        <v>8.44</v>
      </c>
      <c r="BU9" s="20" cm="1">
        <f t="array" aca="1" ref="BU9" ca="1">_FV(EH9,"Alto")</f>
        <v>8.5399999999999991</v>
      </c>
      <c r="BV9" s="32"/>
      <c r="BW9" s="73">
        <f ca="1">SQRT(22.5*(BJ9/VLOOKUP(BK9,Fundamentus!A:U,3,FALSE))*(BJ9/VLOOKUP(BK9,Fundamentus!A:U,4,FALSE)))</f>
        <v>13.829001613290579</v>
      </c>
      <c r="BY9" s="72">
        <f t="shared" ca="1" si="0"/>
        <v>2.3557126030623759E-3</v>
      </c>
      <c r="BZ9" s="8"/>
      <c r="CA9" s="71">
        <f t="shared" si="17"/>
        <v>8.1199999999999992</v>
      </c>
      <c r="CB9" s="71">
        <f t="shared" si="1"/>
        <v>9.1999999999999993</v>
      </c>
      <c r="CC9" s="71">
        <f t="shared" si="18"/>
        <v>8.6453278688524584</v>
      </c>
      <c r="CD9" s="17"/>
      <c r="CE9" s="43">
        <f t="shared" si="19"/>
        <v>8.2940039683164457</v>
      </c>
      <c r="CF9" s="18">
        <f>FORECAST("04/07/2025", BF9:BI9, $BF$5:$BI$5)</f>
        <v>8.4199999999999875</v>
      </c>
      <c r="CG9" s="43">
        <f t="shared" si="20"/>
        <v>8.5459960316835293</v>
      </c>
      <c r="CI9" s="17"/>
      <c r="CJ9" s="20">
        <f>CA9-2*(CB9-CM9)</f>
        <v>6.9266666666666676</v>
      </c>
      <c r="CK9" s="20">
        <f>CM9-(CB9-CA9)</f>
        <v>7.5233333333333334</v>
      </c>
      <c r="CL9" s="20">
        <f>2*CM9-CB9</f>
        <v>8.0066666666666677</v>
      </c>
      <c r="CM9" s="48">
        <f>(CB9+CA9+BI9)/3</f>
        <v>8.6033333333333335</v>
      </c>
      <c r="CN9" s="20">
        <f>2*CM9-CA9</f>
        <v>9.0866666666666678</v>
      </c>
      <c r="CO9" s="20">
        <f>CM9+(CB9-CA9)</f>
        <v>9.6833333333333336</v>
      </c>
      <c r="CP9" s="20">
        <f>CB9+2*(CM9-CA9)</f>
        <v>10.166666666666668</v>
      </c>
      <c r="CQ9" s="2" cm="1">
        <f t="array" aca="1" ref="CQ9" ca="1">MAX(_xlfn._xlws.FILTER(CJ9:CP9,CJ9:CP9&lt;BJ9))</f>
        <v>8.0066666666666677</v>
      </c>
      <c r="CR9" s="2" cm="1">
        <f t="array" aca="1" ref="CR9" ca="1">MIN(_xlfn._xlws.FILTER($CJ9:$CP9,$CJ9:$CP9&gt;BJ9))</f>
        <v>8.6033333333333335</v>
      </c>
      <c r="CS9" s="19">
        <f t="shared" ca="1" si="21"/>
        <v>7.4521232306411278E-2</v>
      </c>
      <c r="CT9" s="23">
        <f t="shared" ca="1" si="22"/>
        <v>-3.7260616153205639E-2</v>
      </c>
      <c r="CU9" s="23">
        <f t="shared" ca="1" si="23"/>
        <v>-2.4840410768803761E-2</v>
      </c>
      <c r="CV9" s="23">
        <f t="shared" ca="1" si="24"/>
        <v>-1.4904246461282255E-2</v>
      </c>
      <c r="CW9" s="23">
        <f t="shared" ca="1" si="25"/>
        <v>-8.2801369229345868E-3</v>
      </c>
      <c r="CX9" s="23">
        <f t="shared" ref="CX9:CX13" ca="1" si="30">-$CS9/17</f>
        <v>-4.383601900377134E-3</v>
      </c>
      <c r="CY9" s="23">
        <f t="shared" ref="CY9:CY13" ca="1" si="31">-$CS9/33</f>
        <v>-2.2582191608003419E-3</v>
      </c>
      <c r="CZ9" s="23">
        <f t="shared" ref="CZ9:CZ13" ca="1" si="32">-$CS9/65</f>
        <v>-1.146480497021712E-3</v>
      </c>
      <c r="DA9" s="24">
        <f t="shared" ref="DA9:DA13" ca="1" si="33">-$CS9/65*-1</f>
        <v>1.146480497021712E-3</v>
      </c>
      <c r="DB9" s="24">
        <f t="shared" ref="DB9:DB13" ca="1" si="34">-$CS9/33*-1</f>
        <v>2.2582191608003419E-3</v>
      </c>
      <c r="DC9" s="24">
        <f t="shared" ref="DC9:DC13" ca="1" si="35">-$CS9/17*-1</f>
        <v>4.383601900377134E-3</v>
      </c>
      <c r="DD9" s="24">
        <f t="shared" ca="1" si="26"/>
        <v>8.2801369229345868E-3</v>
      </c>
      <c r="DE9" s="24">
        <f t="shared" ca="1" si="27"/>
        <v>1.4904246461282255E-2</v>
      </c>
      <c r="DF9" s="24">
        <f t="shared" ca="1" si="28"/>
        <v>2.4840410768803761E-2</v>
      </c>
      <c r="DG9" s="24">
        <f t="shared" ca="1" si="29"/>
        <v>3.7260616153205639E-2</v>
      </c>
      <c r="DI9" s="19" cm="1">
        <f t="array" aca="1" ref="DI9" ca="1">MAX(_xlfn._xlws.FILTER(CT9:DG9,CT9:DG9&lt;BP9))</f>
        <v>2.2582191608003419E-3</v>
      </c>
      <c r="DJ9" s="19" cm="1">
        <f t="array" aca="1" ref="DJ9" ca="1">MIN(_xlfn._xlws.FILTER(CT9:DG9,CT9:DG9&gt;BP9))</f>
        <v>4.383601900377134E-3</v>
      </c>
      <c r="DK9" s="2" cm="1">
        <f t="array" aca="1" ref="DK9" ca="1">_FV(EH9,"Fechamento anterior",TRUE)</f>
        <v>8.49</v>
      </c>
      <c r="DL9" s="36">
        <f ca="1">(BJ9-DM9)/(DN9-DM9)</f>
        <v>4.5871004994378906E-2</v>
      </c>
      <c r="DM9" s="18">
        <f t="shared" ca="1" si="10"/>
        <v>8.5091722806751946</v>
      </c>
      <c r="DN9" s="18">
        <f t="shared" ca="1" si="11"/>
        <v>8.5272167801342018</v>
      </c>
      <c r="DO9" s="9"/>
      <c r="DP9" s="9"/>
      <c r="DQ9" s="94">
        <v>2.2197558268590364E-3</v>
      </c>
      <c r="DR9" s="94">
        <v>1.2107759055594745E-3</v>
      </c>
      <c r="DS9" s="94">
        <v>2.0035061357375375E-3</v>
      </c>
      <c r="DT9" s="94">
        <f t="shared" ca="1" si="12"/>
        <v>2.125382739576792E-3</v>
      </c>
      <c r="DU9" s="87">
        <f ca="1">(BJ9-CF9)/(CF9-CE9)</f>
        <v>0.71430821111938658</v>
      </c>
      <c r="DV9" s="46"/>
      <c r="DW9" s="43">
        <f>_xlfn.STDEV.P(BF9:BI9)</f>
        <v>6.299801584177088E-2</v>
      </c>
      <c r="DX9" s="76">
        <f ca="1">BO9-$DT$2</f>
        <v>-0.57580000000000009</v>
      </c>
      <c r="DY9" s="76">
        <f ca="1">BO9-BP9*100</f>
        <v>0.1857</v>
      </c>
      <c r="DZ9" s="101"/>
      <c r="EA9" s="100">
        <v>-0.74900000000000011</v>
      </c>
      <c r="EB9" s="107">
        <v>0.30069999999999997</v>
      </c>
      <c r="EC9" s="107">
        <v>-5.4099999999999926E-2</v>
      </c>
      <c r="ED9" s="98">
        <f t="shared" ca="1" si="13"/>
        <v>-0.76150000000000007</v>
      </c>
      <c r="EE9" s="66"/>
      <c r="EF9" s="66"/>
      <c r="EH9" s="2" t="e" vm="9">
        <v>#VALUE!</v>
      </c>
      <c r="EJ9" s="10" cm="1">
        <f t="array" aca="1" ref="EJ9" ca="1">_FV(EH9,"Ações em circulação",TRUE)</f>
        <v>315912900</v>
      </c>
      <c r="EK9" s="21">
        <f>VLOOKUP(BK9,Fundamentus!A:U,5,FALSE)</f>
        <v>0</v>
      </c>
      <c r="EL9" s="2" t="e">
        <f ca="1">(BJ9*EJ9)/EK9</f>
        <v>#DIV/0!</v>
      </c>
      <c r="EM9" s="20" t="e">
        <v>#DIV/0!</v>
      </c>
      <c r="EN9" s="20" t="e">
        <f t="shared" ca="1" si="14"/>
        <v>#DIV/0!</v>
      </c>
      <c r="EP9" s="19" t="e">
        <f t="shared" ca="1" si="15"/>
        <v>#DIV/0!</v>
      </c>
      <c r="EQ9" s="40" t="str">
        <f>IF(VLOOKUP(BK9,Fundamentus!A:U,3,FALSE)&lt;15,"Bom",IF(VLOOKUP(BK9,Fundamentus!A:U,3,FALSE)&gt;15,"Ruim","n/a"))</f>
        <v>Bom</v>
      </c>
      <c r="ER9" s="36" t="str">
        <f>IF(VLOOKUP(BK9,Fundamentus!A:U,4,FALSE)&lt;1,"Baixo",IF(VLOOKUP(BK9,Fundamentus!A:U,4,FALSE)&lt;1.5,"Moderado",IF(VLOOKUP(BK9,Fundamentus!A:U,4,FALSE)&gt;1.5,"Alto","n/a")))</f>
        <v>Moderado</v>
      </c>
      <c r="ES9" s="20" t="str">
        <f>IF(VLOOKUP(BK9,Fundamentus!A:U,8,FALSE)&lt;0,"Risco elevado",IF(VLOOKUP(BK9,Fundamentus!A:U,8,FALSE)&lt;1,"Saudável",IF(VLOOKUP(BK9,Fundamentus!A:U,8,FALSE)&lt;3,"Estável",IF(VLOOKUP(BK9,Fundamentus!A:U,8,FALSE)&gt;3,"Alerta","n/a"))))</f>
        <v>Saudável</v>
      </c>
      <c r="ET9" s="36" t="str">
        <f t="shared" si="16"/>
        <v>Ruim</v>
      </c>
      <c r="EU9" s="20" t="str">
        <f>IF(VLOOKUP(BK9,Fundamentus!A:U,12,FALSE)&lt;2,"Subvalorizada",IF(VLOOKUP(BK9,Fundamentus!A:U,12,FALSE)&lt;6,"Muita barata",IF(VLOOKUP(BK9,Fundamentus!A:U,12,FALSE)&lt;6,"Barata",IF(VLOOKUP(BK9,Fundamentus!A:U,12,FALSE)&lt;8,"Atrativa",IF(VLOOKUP(BK9,Fundamentus!A:U,12,FALSE)&gt;8,"Supervalorizada","n/a")))))</f>
        <v>Subvalorizada</v>
      </c>
      <c r="EW9" s="20" t="str">
        <f>IF(VLOOKUP(BK9,Fundamentus!A:U,17,FALSE)&lt;0.1,"Fraco retorno",IF(VLOOKUP(BK9,Fundamentus!A:U,17,FALSE)&gt;0.1,"Bom retorno","n/a"))</f>
        <v>Bom retorno</v>
      </c>
      <c r="EX9" s="20" t="str">
        <f>IF(VLOOKUP(BK9,Fundamentus!A:U,16,FALSE)&lt;0.1,"Ineficiente",IF(VLOOKUP(BK9,Fundamentus!A:U,16,FALSE)&gt;0.1,"Eficiente","n/a"))</f>
        <v>Ineficiente</v>
      </c>
      <c r="EY9" s="41" t="str">
        <f>IF(VLOOKUP(BK9,Fundamentus!A:U,16,FALSE)&lt;0.1,"Oper. Ineficiente",IF(VLOOKUP(BK9,Fundamentus!A:U,16,FALSE)&gt;0.1,"Oper.Eficiente","n/a"))</f>
        <v>Oper. Ineficiente</v>
      </c>
      <c r="EZ9" s="42">
        <f>VLOOKUP(BK9,Fundamentus!A:U,14,FALSE)</f>
        <v>0</v>
      </c>
      <c r="FA9" s="20" t="str">
        <f>IF(VLOOKUP(BK9,Fundamentus!A:U,21,FALSE)&lt;0,"Negativo",IF(VLOOKUP(BK9,Fundamentus!A:U,21,FALSE)&lt;0.05,"Fraco",IF(VLOOKUP(BK9,Fundamentus!A:U,21,FALSE)&lt;0.1,"Bom",IF(VLOOKUP(BK9,Fundamentus!A:U,21,FALSE)&gt;0.1,"Muito bom","n/a"))))</f>
        <v>Muito bom</v>
      </c>
      <c r="FC9" s="37" t="str">
        <f>IF(VLOOKUP(BK9,Fundamentus!A:U,15,FALSE)&gt;1,"Bom",IF(VLOOKUP(BK9,Fundamentus!A:U,15,FALSE)&lt;1,"Ruim","n/a"))</f>
        <v>Ruim</v>
      </c>
      <c r="FD9" s="20" t="str">
        <f>IF(VLOOKUP(BK9,Fundamentus!A:U,20,FALSE)&lt;0.5,"Baixa",IF(VLOOKUP(BK9,Fundamentus!A:U,20,FALSE)&lt;1,"Moderada",IF(VLOOKUP(BK9,Fundamentus!A:U,20,FALSE)&lt;2,"Alerta",IF(VLOOKUP(BK9,Fundamentus!A:U,20,FALSE)&gt;2,"Alta","n/a"))))</f>
        <v>Baixa</v>
      </c>
    </row>
    <row r="10" spans="1:160" s="2" customFormat="1" ht="11.25" hidden="1"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8">
        <v>14.37</v>
      </c>
      <c r="BC10" s="62">
        <v>14.41</v>
      </c>
      <c r="BD10" s="62">
        <v>14.24</v>
      </c>
      <c r="BE10" s="62">
        <v>14.03</v>
      </c>
      <c r="BF10" s="62">
        <v>14.08</v>
      </c>
      <c r="BG10" s="81">
        <v>13.64</v>
      </c>
      <c r="BH10" s="62">
        <v>13.53</v>
      </c>
      <c r="BI10" s="62">
        <v>13.15</v>
      </c>
      <c r="BJ10" s="62" cm="1">
        <f t="array" aca="1" ref="BJ10" ca="1">_FV(EH10,"Preço")</f>
        <v>13.27</v>
      </c>
      <c r="BK10" s="83" t="s">
        <v>7</v>
      </c>
      <c r="BL10" s="44" cm="1">
        <f t="array" aca="1" ref="BL10" ca="1">_FV(EH10,"Média de volume",TRUE)</f>
        <v>33428170</v>
      </c>
      <c r="BM10" s="44">
        <v>27304000</v>
      </c>
      <c r="BN10" s="44" cm="1">
        <f t="array" aca="1" ref="BN10" ca="1">_FV(EH10,"Volume")</f>
        <v>15417500</v>
      </c>
      <c r="BO10" s="32" cm="1">
        <f t="array" aca="1" ref="BO10" ca="1">_FV(EH10,"Beta")</f>
        <v>0.66559999999999997</v>
      </c>
      <c r="BP10" s="86" cm="1">
        <f t="array" aca="1" ref="BP10" ca="1">_FV(EH10,"Variação (%)",TRUE)</f>
        <v>9.1249999999999994E-3</v>
      </c>
      <c r="BQ10" s="48"/>
      <c r="BR10" s="48"/>
      <c r="BT10" s="20" cm="1">
        <f t="array" aca="1" ref="BT10" ca="1">_FV(EH10,"Baixo")</f>
        <v>13.04</v>
      </c>
      <c r="BU10" s="20" cm="1">
        <f t="array" aca="1" ref="BU10" ca="1">_FV(EH10,"Alto")</f>
        <v>13.27</v>
      </c>
      <c r="BV10" s="32"/>
      <c r="BW10" s="73">
        <f ca="1">SQRT(22.5*(BJ10/VLOOKUP(BK10,Fundamentus!A:U,3,FALSE))*(BJ10/VLOOKUP(BK10,Fundamentus!A:U,4,FALSE)))</f>
        <v>10.823210849396796</v>
      </c>
      <c r="BY10" s="72">
        <f t="shared" ca="1" si="0"/>
        <v>9.1254752851710422E-3</v>
      </c>
      <c r="BZ10" s="8"/>
      <c r="CA10" s="71">
        <f t="shared" si="17"/>
        <v>10.85</v>
      </c>
      <c r="CB10" s="71">
        <f t="shared" si="1"/>
        <v>14.57</v>
      </c>
      <c r="CC10" s="71">
        <f t="shared" si="18"/>
        <v>12.606803278688524</v>
      </c>
      <c r="CD10" s="17"/>
      <c r="CE10" s="43">
        <f t="shared" si="19"/>
        <v>12.212127463232711</v>
      </c>
      <c r="CF10" s="18">
        <f>FORECAST("04/07/2025", BF10:BI10, $BF$5:$BI$5)</f>
        <v>12.874999999999773</v>
      </c>
      <c r="CG10" s="43">
        <f t="shared" si="20"/>
        <v>13.537872536766834</v>
      </c>
      <c r="CI10" s="17"/>
      <c r="CJ10" s="20">
        <f>CA10-2*(CB10-CM10)</f>
        <v>7.4233333333333338</v>
      </c>
      <c r="CK10" s="20">
        <f>CM10-(CB10-CA10)</f>
        <v>9.1366666666666667</v>
      </c>
      <c r="CL10" s="20">
        <f>2*CM10-CB10</f>
        <v>11.143333333333334</v>
      </c>
      <c r="CM10" s="48">
        <f>(CB10+CA10+BI10)/3</f>
        <v>12.856666666666667</v>
      </c>
      <c r="CN10" s="20">
        <f>2*CM10-CA10</f>
        <v>14.863333333333335</v>
      </c>
      <c r="CO10" s="20">
        <f>CM10+(CB10-CA10)</f>
        <v>16.576666666666668</v>
      </c>
      <c r="CP10" s="20">
        <f>CB10+2*(CM10-CA10)</f>
        <v>18.583333333333336</v>
      </c>
      <c r="CQ10" s="2" cm="1">
        <f t="array" aca="1" ref="CQ10" ca="1">MAX(_xlfn._xlws.FILTER(CJ10:CP10,CJ10:CP10&lt;BJ10))</f>
        <v>12.856666666666667</v>
      </c>
      <c r="CR10" s="2" cm="1">
        <f t="array" aca="1" ref="CR10" ca="1">MIN(_xlfn._xlws.FILTER($CJ10:$CP10,$CJ10:$CP10&gt;BJ10))</f>
        <v>14.863333333333335</v>
      </c>
      <c r="CS10" s="19">
        <f t="shared" ca="1" si="21"/>
        <v>0.15607985480943753</v>
      </c>
      <c r="CT10" s="23">
        <f t="shared" ca="1" si="22"/>
        <v>-7.8039927404718767E-2</v>
      </c>
      <c r="CU10" s="23">
        <f t="shared" ca="1" si="23"/>
        <v>-5.2026618269812509E-2</v>
      </c>
      <c r="CV10" s="23">
        <f t="shared" ca="1" si="24"/>
        <v>-3.1215970961887506E-2</v>
      </c>
      <c r="CW10" s="23">
        <f t="shared" ca="1" si="25"/>
        <v>-1.7342206089937504E-2</v>
      </c>
      <c r="CX10" s="23">
        <f t="shared" ca="1" si="30"/>
        <v>-9.181167929966913E-3</v>
      </c>
      <c r="CY10" s="23">
        <f t="shared" ca="1" si="31"/>
        <v>-4.7296925699829555E-3</v>
      </c>
      <c r="CZ10" s="23">
        <f t="shared" ca="1" si="32"/>
        <v>-2.401228535529808E-3</v>
      </c>
      <c r="DA10" s="24">
        <f t="shared" ca="1" si="33"/>
        <v>2.401228535529808E-3</v>
      </c>
      <c r="DB10" s="24">
        <f t="shared" ca="1" si="34"/>
        <v>4.7296925699829555E-3</v>
      </c>
      <c r="DC10" s="24">
        <f t="shared" ca="1" si="35"/>
        <v>9.181167929966913E-3</v>
      </c>
      <c r="DD10" s="24">
        <f t="shared" ca="1" si="26"/>
        <v>1.7342206089937504E-2</v>
      </c>
      <c r="DE10" s="24">
        <f t="shared" ca="1" si="27"/>
        <v>3.1215970961887506E-2</v>
      </c>
      <c r="DF10" s="24">
        <f t="shared" ca="1" si="28"/>
        <v>5.2026618269812509E-2</v>
      </c>
      <c r="DG10" s="24">
        <f t="shared" ca="1" si="29"/>
        <v>7.8039927404718767E-2</v>
      </c>
      <c r="DI10" s="19" cm="1">
        <f t="array" aca="1" ref="DI10" ca="1">MAX(_xlfn._xlws.FILTER(CT10:DG10,CT10:DG10&lt;BP10))</f>
        <v>4.7296925699829555E-3</v>
      </c>
      <c r="DJ10" s="19" cm="1">
        <f t="array" aca="1" ref="DJ10" ca="1">MIN(_xlfn._xlws.FILTER(CT10:DG10,CT10:DG10&gt;BP10))</f>
        <v>9.181167929966913E-3</v>
      </c>
      <c r="DK10" s="2" cm="1">
        <f t="array" aca="1" ref="DK10" ca="1">_FV(EH10,"Fechamento anterior",TRUE)</f>
        <v>13.15</v>
      </c>
      <c r="DL10" s="36">
        <f ca="1">(BJ10-DM10)/(DN10-DM10)</f>
        <v>0.98748894685646305</v>
      </c>
      <c r="DM10" s="18">
        <f t="shared" ca="1" si="10"/>
        <v>13.212195457295277</v>
      </c>
      <c r="DN10" s="18">
        <f t="shared" ca="1" si="11"/>
        <v>13.270732358279066</v>
      </c>
      <c r="DO10" s="9"/>
      <c r="DP10" s="9"/>
      <c r="DQ10" s="94">
        <v>2.0686026507672445E-3</v>
      </c>
      <c r="DR10" s="94">
        <v>7.2502494867577455E-3</v>
      </c>
      <c r="DS10" s="94">
        <v>8.7145969498910719E-3</v>
      </c>
      <c r="DT10" s="94">
        <f t="shared" ca="1" si="12"/>
        <v>4.4514753599839574E-3</v>
      </c>
      <c r="DU10" s="87">
        <f ca="1">(BJ10-CF10)/(CF10-CE10)</f>
        <v>0.59589133368944081</v>
      </c>
      <c r="DV10" s="46"/>
      <c r="DW10" s="43">
        <f>_xlfn.STDEV.P(BF10:BI10)</f>
        <v>0.33143626838353096</v>
      </c>
      <c r="DX10" s="76">
        <f ca="1">BO10-$DT$2</f>
        <v>-0.33150000000000013</v>
      </c>
      <c r="DY10" s="76">
        <f ca="1">BO10-BP10*100</f>
        <v>-0.24690000000000001</v>
      </c>
      <c r="DZ10" s="101"/>
      <c r="EA10" s="100">
        <v>-1.2363999999999999</v>
      </c>
      <c r="EB10" s="107">
        <v>1.6873</v>
      </c>
      <c r="EC10" s="107">
        <v>-1.0953999999999999</v>
      </c>
      <c r="ED10" s="98">
        <f t="shared" ca="1" si="13"/>
        <v>-8.460000000000012E-2</v>
      </c>
      <c r="EE10" s="66"/>
      <c r="EF10" s="66"/>
      <c r="EH10" s="2" t="e" vm="10">
        <v>#VALUE!</v>
      </c>
      <c r="EJ10" s="10" cm="1">
        <f t="array" aca="1" ref="EJ10" ca="1">_FV(EH10,"Ações em circulação",TRUE)</f>
        <v>15761640000</v>
      </c>
      <c r="EK10" s="21">
        <f>VLOOKUP(BK10,Fundamentus!A:U,5,FALSE)</f>
        <v>2.3450000000000002</v>
      </c>
      <c r="EL10" s="2">
        <f ca="1">(BJ10*EJ10)/EK10</f>
        <v>89192734669.509583</v>
      </c>
      <c r="EM10" s="20">
        <v>14318559356.929636</v>
      </c>
      <c r="EN10" s="20">
        <f t="shared" ca="1" si="14"/>
        <v>14449223016.460552</v>
      </c>
      <c r="EP10" s="19">
        <f t="shared" ca="1" si="15"/>
        <v>9.1254752851710474E-3</v>
      </c>
      <c r="EQ10" s="40" t="str">
        <f>IF(VLOOKUP(BK10,Fundamentus!A:U,3,FALSE)&lt;15,"Bom",IF(VLOOKUP(BK10,Fundamentus!A:U,3,FALSE)&gt;15,"Ruim","n/a"))</f>
        <v>Bom</v>
      </c>
      <c r="ER10" s="36" t="str">
        <f>IF(VLOOKUP(BK10,Fundamentus!A:U,4,FALSE)&lt;1,"Baixo",IF(VLOOKUP(BK10,Fundamentus!A:U,4,FALSE)&lt;1.5,"Moderado",IF(VLOOKUP(BK10,Fundamentus!A:U,4,FALSE)&gt;1.5,"Alto","n/a")))</f>
        <v>Alto</v>
      </c>
      <c r="ES10" s="20" t="str">
        <f>IF(VLOOKUP(BK10,Fundamentus!A:U,8,FALSE)&lt;0,"Risco elevado",IF(VLOOKUP(BK10,Fundamentus!A:U,8,FALSE)&lt;1,"Saudável",IF(VLOOKUP(BK10,Fundamentus!A:U,8,FALSE)&lt;3,"Estável",IF(VLOOKUP(BK10,Fundamentus!A:U,8,FALSE)&gt;3,"Alerta","n/a"))))</f>
        <v>Alerta</v>
      </c>
      <c r="ET10" s="36" t="str">
        <f t="shared" si="16"/>
        <v>Bom</v>
      </c>
      <c r="EU10" s="20" t="str">
        <f>IF(VLOOKUP(BK10,Fundamentus!A:U,12,FALSE)&lt;2,"Subvalorizada",IF(VLOOKUP(BK10,Fundamentus!A:U,12,FALSE)&lt;6,"Muita barata",IF(VLOOKUP(BK10,Fundamentus!A:U,12,FALSE)&lt;6,"Barata",IF(VLOOKUP(BK10,Fundamentus!A:U,12,FALSE)&lt;8,"Atrativa",IF(VLOOKUP(BK10,Fundamentus!A:U,12,FALSE)&gt;8,"Supervalorizada","n/a")))))</f>
        <v>Atrativa</v>
      </c>
      <c r="EW10" s="20" t="str">
        <f>IF(VLOOKUP(BK10,Fundamentus!A:U,17,FALSE)&lt;0.1,"Fraco retorno",IF(VLOOKUP(BK10,Fundamentus!A:U,17,FALSE)&gt;0.1,"Bom retorno","n/a"))</f>
        <v>Bom retorno</v>
      </c>
      <c r="EX10" s="20" t="str">
        <f>IF(VLOOKUP(BK10,Fundamentus!A:U,16,FALSE)&lt;0.1,"Ineficiente",IF(VLOOKUP(BK10,Fundamentus!A:U,16,FALSE)&gt;0.1,"Eficiente","n/a"))</f>
        <v>Eficiente</v>
      </c>
      <c r="EY10" s="41" t="str">
        <f>IF(VLOOKUP(BK10,Fundamentus!A:U,16,FALSE)&lt;0.1,"Oper. Ineficiente",IF(VLOOKUP(BK10,Fundamentus!A:U,16,FALSE)&gt;0.1,"Oper.Eficiente","n/a"))</f>
        <v>Oper.Eficiente</v>
      </c>
      <c r="EZ10" s="42">
        <f>VLOOKUP(BK10,Fundamentus!A:U,14,FALSE)</f>
        <v>0.16200000000000001</v>
      </c>
      <c r="FA10" s="20" t="str">
        <f>IF(VLOOKUP(BK10,Fundamentus!A:U,21,FALSE)&lt;0,"Negativo",IF(VLOOKUP(BK10,Fundamentus!A:U,21,FALSE)&lt;0.05,"Fraco",IF(VLOOKUP(BK10,Fundamentus!A:U,21,FALSE)&lt;0.1,"Bom",IF(VLOOKUP(BK10,Fundamentus!A:U,21,FALSE)&gt;0.1,"Muito bom","n/a"))))</f>
        <v>Bom</v>
      </c>
      <c r="FC10" s="37" t="str">
        <f>IF(VLOOKUP(BK10,Fundamentus!A:U,15,FALSE)&gt;1,"Bom",IF(VLOOKUP(BK10,Fundamentus!A:U,15,FALSE)&lt;1,"Ruim","n/a"))</f>
        <v>Bom</v>
      </c>
      <c r="FD10" s="20" t="str">
        <f>IF(VLOOKUP(BK10,Fundamentus!A:U,20,FALSE)&lt;0.5,"Baixa",IF(VLOOKUP(BK10,Fundamentus!A:U,20,FALSE)&lt;1,"Moderada",IF(VLOOKUP(BK10,Fundamentus!A:U,20,FALSE)&lt;2,"Alerta",IF(VLOOKUP(BK10,Fundamentus!A:U,20,FALSE)&gt;2,"Alta","n/a"))))</f>
        <v>Baixa</v>
      </c>
    </row>
    <row r="11" spans="1:160" s="2" customFormat="1" ht="11.25" hidden="1"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8">
        <v>2.81</v>
      </c>
      <c r="BC11" s="62">
        <v>2.82</v>
      </c>
      <c r="BD11" s="62">
        <v>2.88</v>
      </c>
      <c r="BE11" s="62">
        <v>2.98</v>
      </c>
      <c r="BF11" s="62">
        <v>2.9</v>
      </c>
      <c r="BG11" s="81">
        <v>2.88</v>
      </c>
      <c r="BH11" s="62">
        <v>2.91</v>
      </c>
      <c r="BI11" s="62">
        <v>2.9</v>
      </c>
      <c r="BJ11" s="62" cm="1">
        <f t="array" aca="1" ref="BJ11" ca="1">_FV(EH11,"Preço")</f>
        <v>2.9</v>
      </c>
      <c r="BK11" s="83" t="s">
        <v>8</v>
      </c>
      <c r="BL11" s="44" cm="1">
        <f t="array" aca="1" ref="BL11" ca="1">_FV(EH11,"Média de volume",TRUE)</f>
        <v>6300</v>
      </c>
      <c r="BM11" s="44">
        <v>600</v>
      </c>
      <c r="BN11" s="44" cm="1">
        <f t="array" aca="1" ref="BN11" ca="1">_FV(EH11,"Volume")</f>
        <v>500</v>
      </c>
      <c r="BO11" s="32" cm="1">
        <f t="array" aca="1" ref="BO11" ca="1">_FV(EH11,"Beta")</f>
        <v>0.75800000000000001</v>
      </c>
      <c r="BP11" s="86" cm="1">
        <f t="array" aca="1" ref="BP11" ca="1">_FV(EH11,"Variação (%)",TRUE)</f>
        <v>0</v>
      </c>
      <c r="BQ11" s="48"/>
      <c r="BR11" s="48"/>
      <c r="BT11" s="20" cm="1">
        <f t="array" aca="1" ref="BT11" ca="1">_FV(EH11,"Baixo")</f>
        <v>2.9</v>
      </c>
      <c r="BU11" s="20" cm="1">
        <f t="array" aca="1" ref="BU11" ca="1">_FV(EH11,"Alto")</f>
        <v>2.9</v>
      </c>
      <c r="BV11" s="32"/>
      <c r="BW11" s="73">
        <f ca="1">SQRT(22.5*(BJ11/VLOOKUP(BK11,Fundamentus!A:U,3,FALSE))*(BJ11/VLOOKUP(BK11,Fundamentus!A:U,4,FALSE)))</f>
        <v>205.06096654409879</v>
      </c>
      <c r="BY11" s="72">
        <f t="shared" ca="1" si="0"/>
        <v>0</v>
      </c>
      <c r="BZ11" s="8"/>
      <c r="CA11" s="71">
        <f t="shared" si="17"/>
        <v>2.0099999999999998</v>
      </c>
      <c r="CB11" s="71">
        <f t="shared" si="1"/>
        <v>3.15</v>
      </c>
      <c r="CC11" s="71">
        <f t="shared" si="18"/>
        <v>2.7707377049180315</v>
      </c>
      <c r="CD11" s="17"/>
      <c r="CE11" s="43">
        <f t="shared" si="19"/>
        <v>2.8832055052822976</v>
      </c>
      <c r="CF11" s="18">
        <f>FORECAST("04/07/2025", BF11:BI11, $BF$5:$BI$5)</f>
        <v>2.9050000000000011</v>
      </c>
      <c r="CG11" s="43">
        <f t="shared" si="20"/>
        <v>2.9267944947177047</v>
      </c>
      <c r="CI11" s="17"/>
      <c r="CJ11" s="20">
        <f>CA11-2*(CB11-CM11)</f>
        <v>1.0833333333333339</v>
      </c>
      <c r="CK11" s="20">
        <f>CM11-(CB11-CA11)</f>
        <v>1.5466666666666669</v>
      </c>
      <c r="CL11" s="20">
        <f>2*CM11-CB11</f>
        <v>2.223333333333334</v>
      </c>
      <c r="CM11" s="48">
        <f>(CB11+CA11+BI11)/3</f>
        <v>2.686666666666667</v>
      </c>
      <c r="CN11" s="20">
        <f>2*CM11-CA11</f>
        <v>3.3633333333333342</v>
      </c>
      <c r="CO11" s="20">
        <f>CM11+(CB11-CA11)</f>
        <v>3.8266666666666671</v>
      </c>
      <c r="CP11" s="20">
        <f>CB11+2*(CM11-CA11)</f>
        <v>4.5033333333333339</v>
      </c>
      <c r="CQ11" s="2" cm="1">
        <f t="array" aca="1" ref="CQ11" ca="1">MAX(_xlfn._xlws.FILTER(CJ11:CP11,CJ11:CP11&lt;BJ11))</f>
        <v>2.686666666666667</v>
      </c>
      <c r="CR11" s="2" cm="1">
        <f t="array" aca="1" ref="CR11" ca="1">MIN(_xlfn._xlws.FILTER($CJ11:$CP11,$CJ11:$CP11&gt;BJ11))</f>
        <v>3.3633333333333342</v>
      </c>
      <c r="CS11" s="19">
        <f t="shared" ca="1" si="21"/>
        <v>0.25186104218362293</v>
      </c>
      <c r="CT11" s="23">
        <f t="shared" ca="1" si="22"/>
        <v>-0.12593052109181146</v>
      </c>
      <c r="CU11" s="23">
        <f t="shared" ca="1" si="23"/>
        <v>-8.3953680727874305E-2</v>
      </c>
      <c r="CV11" s="23">
        <f t="shared" ca="1" si="24"/>
        <v>-5.0372208436724589E-2</v>
      </c>
      <c r="CW11" s="23">
        <f t="shared" ca="1" si="25"/>
        <v>-2.798456024262477E-2</v>
      </c>
      <c r="CX11" s="23">
        <f t="shared" ca="1" si="30"/>
        <v>-1.4815355422566054E-2</v>
      </c>
      <c r="CY11" s="23">
        <f t="shared" ca="1" si="31"/>
        <v>-7.6321527934431191E-3</v>
      </c>
      <c r="CZ11" s="23">
        <f t="shared" ca="1" si="32"/>
        <v>-3.8747852643634295E-3</v>
      </c>
      <c r="DA11" s="24">
        <f t="shared" ca="1" si="33"/>
        <v>3.8747852643634295E-3</v>
      </c>
      <c r="DB11" s="24">
        <f t="shared" ca="1" si="34"/>
        <v>7.6321527934431191E-3</v>
      </c>
      <c r="DC11" s="24">
        <f t="shared" ca="1" si="35"/>
        <v>1.4815355422566054E-2</v>
      </c>
      <c r="DD11" s="24">
        <f t="shared" ca="1" si="26"/>
        <v>2.798456024262477E-2</v>
      </c>
      <c r="DE11" s="24">
        <f t="shared" ca="1" si="27"/>
        <v>5.0372208436724589E-2</v>
      </c>
      <c r="DF11" s="24">
        <f t="shared" ca="1" si="28"/>
        <v>8.3953680727874305E-2</v>
      </c>
      <c r="DG11" s="24">
        <f t="shared" ca="1" si="29"/>
        <v>0.12593052109181146</v>
      </c>
      <c r="DI11" s="19" cm="1">
        <f t="array" aca="1" ref="DI11" ca="1">MAX(_xlfn._xlws.FILTER(CT11:DG11,CT11:DG11&lt;BP11))</f>
        <v>-3.8747852643634295E-3</v>
      </c>
      <c r="DJ11" s="19" cm="1">
        <f t="array" aca="1" ref="DJ11" ca="1">MIN(_xlfn._xlws.FILTER(CT11:DG11,CT11:DG11&gt;BP11))</f>
        <v>3.8747852643634295E-3</v>
      </c>
      <c r="DK11" s="2" cm="1">
        <f t="array" aca="1" ref="DK11" ca="1">_FV(EH11,"Fechamento anterior",TRUE)</f>
        <v>2.9</v>
      </c>
      <c r="DL11" s="36">
        <f ca="1">(BJ11-DM11)/(DN11-DM11)</f>
        <v>0.5</v>
      </c>
      <c r="DM11" s="18">
        <f t="shared" ca="1" si="10"/>
        <v>2.8887631227333461</v>
      </c>
      <c r="DN11" s="18">
        <f t="shared" ca="1" si="11"/>
        <v>2.9112368772666537</v>
      </c>
      <c r="DO11" s="9"/>
      <c r="DP11" s="9"/>
      <c r="DQ11" s="94">
        <v>1.4346051296571571E-2</v>
      </c>
      <c r="DR11" s="94">
        <v>8.4420994168286564E-3</v>
      </c>
      <c r="DS11" s="94">
        <v>2.2222222222222227E-2</v>
      </c>
      <c r="DT11" s="94">
        <f t="shared" ca="1" si="12"/>
        <v>7.7495705287268591E-3</v>
      </c>
      <c r="DU11" s="87">
        <f ca="1">(BJ11-CF11)/(CF11-CE11)</f>
        <v>-0.22941573387061598</v>
      </c>
      <c r="DV11" s="46"/>
      <c r="DW11" s="43">
        <f>_xlfn.STDEV.P(BF11:BI11)</f>
        <v>1.0897247358851758E-2</v>
      </c>
      <c r="DX11" s="76">
        <f ca="1">BO11-$DT$2</f>
        <v>-0.23910000000000009</v>
      </c>
      <c r="DY11" s="76">
        <f ca="1">BO11-BP11*100</f>
        <v>0.75800000000000001</v>
      </c>
      <c r="DZ11" s="101"/>
      <c r="EA11" s="100">
        <v>-1.3680000000000001</v>
      </c>
      <c r="EB11" s="107">
        <v>-0.1140000000000001</v>
      </c>
      <c r="EC11" s="107">
        <v>-0.16269999999999984</v>
      </c>
      <c r="ED11" s="98">
        <f t="shared" ca="1" si="13"/>
        <v>-0.9971000000000001</v>
      </c>
      <c r="EE11" s="66"/>
      <c r="EF11" s="66"/>
      <c r="EH11" s="2" t="e" vm="11">
        <v>#VALUE!</v>
      </c>
      <c r="EJ11" s="10" cm="1">
        <f t="array" aca="1" ref="EJ11" ca="1">_FV(EH11,"Ações em circulação",TRUE)</f>
        <v>67691630</v>
      </c>
      <c r="EK11" s="21">
        <f>VLOOKUP(BK11,Fundamentus!A:U,5,FALSE)</f>
        <v>2.5999999999999999E-2</v>
      </c>
      <c r="EL11" s="2">
        <f ca="1">(BJ11*EJ11)/EK11</f>
        <v>7550220269.2307692</v>
      </c>
      <c r="EM11" s="20">
        <v>-1333368899.5461538</v>
      </c>
      <c r="EN11" s="20">
        <f t="shared" ca="1" si="14"/>
        <v>-1333368899.5461538</v>
      </c>
      <c r="EP11" s="19">
        <f t="shared" ca="1" si="15"/>
        <v>0</v>
      </c>
      <c r="EQ11" s="40" t="str">
        <f>IF(VLOOKUP(BK11,Fundamentus!A:U,3,FALSE)&lt;15,"Bom",IF(VLOOKUP(BK11,Fundamentus!A:U,3,FALSE)&gt;15,"Ruim","n/a"))</f>
        <v>Bom</v>
      </c>
      <c r="ER11" s="36" t="str">
        <f>IF(VLOOKUP(BK11,Fundamentus!A:U,4,FALSE)&lt;1,"Baixo",IF(VLOOKUP(BK11,Fundamentus!A:U,4,FALSE)&lt;1.5,"Moderado",IF(VLOOKUP(BK11,Fundamentus!A:U,4,FALSE)&gt;1.5,"Alto","n/a")))</f>
        <v>Baixo</v>
      </c>
      <c r="ES11" s="20" t="str">
        <f>IF(VLOOKUP(BK11,Fundamentus!A:U,8,FALSE)&lt;0,"Risco elevado",IF(VLOOKUP(BK11,Fundamentus!A:U,8,FALSE)&lt;1,"Saudável",IF(VLOOKUP(BK11,Fundamentus!A:U,8,FALSE)&lt;3,"Estável",IF(VLOOKUP(BK11,Fundamentus!A:U,8,FALSE)&gt;3,"Alerta","n/a"))))</f>
        <v>Risco elevado</v>
      </c>
      <c r="ET11" s="36" t="str">
        <f t="shared" si="16"/>
        <v>Ruim</v>
      </c>
      <c r="EU11" s="20" t="str">
        <f>IF(VLOOKUP(BK11,Fundamentus!A:U,12,FALSE)&lt;2,"Subvalorizada",IF(VLOOKUP(BK11,Fundamentus!A:U,12,FALSE)&lt;6,"Muita barata",IF(VLOOKUP(BK11,Fundamentus!A:U,12,FALSE)&lt;6,"Barata",IF(VLOOKUP(BK11,Fundamentus!A:U,12,FALSE)&lt;8,"Atrativa",IF(VLOOKUP(BK11,Fundamentus!A:U,12,FALSE)&gt;8,"Supervalorizada","n/a")))))</f>
        <v>Subvalorizada</v>
      </c>
      <c r="EW11" s="20" t="str">
        <f>IF(VLOOKUP(BK11,Fundamentus!A:U,17,FALSE)&lt;0.1,"Fraco retorno",IF(VLOOKUP(BK11,Fundamentus!A:U,17,FALSE)&gt;0.1,"Bom retorno","n/a"))</f>
        <v>Bom retorno</v>
      </c>
      <c r="EX11" s="20" t="str">
        <f>IF(VLOOKUP(BK11,Fundamentus!A:U,16,FALSE)&lt;0.1,"Ineficiente",IF(VLOOKUP(BK11,Fundamentus!A:U,16,FALSE)&gt;0.1,"Eficiente","n/a"))</f>
        <v>Ineficiente</v>
      </c>
      <c r="EY11" s="41" t="str">
        <f>IF(VLOOKUP(BK11,Fundamentus!A:U,16,FALSE)&lt;0.1,"Oper. Ineficiente",IF(VLOOKUP(BK11,Fundamentus!A:U,16,FALSE)&gt;0.1,"Oper.Eficiente","n/a"))</f>
        <v>Oper. Ineficiente</v>
      </c>
      <c r="EZ11" s="42">
        <f>VLOOKUP(BK11,Fundamentus!A:U,14,FALSE)</f>
        <v>-0.17660000000000001</v>
      </c>
      <c r="FA11" s="20" t="str">
        <f>IF(VLOOKUP(BK11,Fundamentus!A:U,21,FALSE)&lt;0,"Negativo",IF(VLOOKUP(BK11,Fundamentus!A:U,21,FALSE)&lt;0.05,"Fraco",IF(VLOOKUP(BK11,Fundamentus!A:U,21,FALSE)&lt;0.1,"Bom",IF(VLOOKUP(BK11,Fundamentus!A:U,21,FALSE)&gt;0.1,"Muito bom","n/a"))))</f>
        <v>Muito bom</v>
      </c>
      <c r="FC11" s="37" t="str">
        <f>IF(VLOOKUP(BK11,Fundamentus!A:U,15,FALSE)&gt;1,"Bom",IF(VLOOKUP(BK11,Fundamentus!A:U,15,FALSE)&lt;1,"Ruim","n/a"))</f>
        <v>Ruim</v>
      </c>
      <c r="FD11" s="20" t="str">
        <f>IF(VLOOKUP(BK11,Fundamentus!A:U,20,FALSE)&lt;0.5,"Baixa",IF(VLOOKUP(BK11,Fundamentus!A:U,20,FALSE)&lt;1,"Moderada",IF(VLOOKUP(BK11,Fundamentus!A:U,20,FALSE)&lt;2,"Alerta",IF(VLOOKUP(BK11,Fundamentus!A:U,20,FALSE)&gt;2,"Alta","n/a"))))</f>
        <v>Baixa</v>
      </c>
    </row>
    <row r="12" spans="1:160" s="2" customFormat="1" ht="11.25" hidden="1"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8">
        <v>5.32</v>
      </c>
      <c r="BC12" s="62">
        <v>5.4</v>
      </c>
      <c r="BD12" s="62">
        <v>5.3</v>
      </c>
      <c r="BE12" s="62">
        <v>5.4</v>
      </c>
      <c r="BF12" s="62">
        <v>5.47</v>
      </c>
      <c r="BG12" s="81">
        <v>5.07</v>
      </c>
      <c r="BH12" s="62">
        <v>4.9400000000000004</v>
      </c>
      <c r="BI12" s="62">
        <v>4.99</v>
      </c>
      <c r="BJ12" s="62" cm="1">
        <f t="array" aca="1" ref="BJ12" ca="1">_FV(EH12,"Preço")</f>
        <v>4.97</v>
      </c>
      <c r="BK12" s="83" t="s">
        <v>9</v>
      </c>
      <c r="BL12" s="44" cm="1">
        <f t="array" aca="1" ref="BL12" ca="1">_FV(EH12,"Média de volume",TRUE)</f>
        <v>68560</v>
      </c>
      <c r="BM12" s="44">
        <v>89300</v>
      </c>
      <c r="BN12" s="44" cm="1">
        <f t="array" aca="1" ref="BN12" ca="1">_FV(EH12,"Volume")</f>
        <v>44100</v>
      </c>
      <c r="BO12" s="32" cm="1">
        <f t="array" aca="1" ref="BO12" ca="1">_FV(EH12,"Beta")</f>
        <v>0.95889999999999997</v>
      </c>
      <c r="BP12" s="86" cm="1">
        <f t="array" aca="1" ref="BP12" ca="1">_FV(EH12,"Variação (%)",TRUE)</f>
        <v>-4.0080000000000003E-3</v>
      </c>
      <c r="BQ12" s="48"/>
      <c r="BR12" s="48"/>
      <c r="BT12" s="20" cm="1">
        <f t="array" aca="1" ref="BT12" ca="1">_FV(EH12,"Baixo")</f>
        <v>4.96</v>
      </c>
      <c r="BU12" s="20" cm="1">
        <f t="array" aca="1" ref="BU12" ca="1">_FV(EH12,"Alto")</f>
        <v>5.0999999999999996</v>
      </c>
      <c r="BV12" s="32"/>
      <c r="BW12" s="73">
        <f ca="1">SQRT(22.5*(BJ12/VLOOKUP(BK12,Fundamentus!A:U,3,FALSE))*(BJ12/VLOOKUP(BK12,Fundamentus!A:U,4,FALSE)))</f>
        <v>13.653754553873297</v>
      </c>
      <c r="BY12" s="72">
        <f t="shared" ca="1" si="0"/>
        <v>-4.0080160320642207E-3</v>
      </c>
      <c r="BZ12" s="8"/>
      <c r="CA12" s="71">
        <f t="shared" si="17"/>
        <v>4.9400000000000004</v>
      </c>
      <c r="CB12" s="71">
        <f t="shared" si="1"/>
        <v>8.1199999999999992</v>
      </c>
      <c r="CC12" s="71">
        <f t="shared" si="18"/>
        <v>6.4087704918032751</v>
      </c>
      <c r="CD12" s="17"/>
      <c r="CE12" s="43">
        <f t="shared" si="19"/>
        <v>4.3075374268271762</v>
      </c>
      <c r="CF12" s="18">
        <f>FORECAST("04/07/2025", BF12:BI12, $BF$5:$BI$5)</f>
        <v>4.7249999999999091</v>
      </c>
      <c r="CG12" s="43">
        <f t="shared" si="20"/>
        <v>5.1424625731726419</v>
      </c>
      <c r="CI12" s="17"/>
      <c r="CJ12" s="20">
        <f>CA12-2*(CB12-CM12)</f>
        <v>0.73333333333333339</v>
      </c>
      <c r="CK12" s="20">
        <f>CM12-(CB12-CA12)</f>
        <v>2.8366666666666669</v>
      </c>
      <c r="CL12" s="20">
        <f>2*CM12-CB12</f>
        <v>3.9133333333333322</v>
      </c>
      <c r="CM12" s="48">
        <f>(CB12+CA12+BI12)/3</f>
        <v>6.0166666666666657</v>
      </c>
      <c r="CN12" s="20">
        <f>2*CM12-CA12</f>
        <v>7.093333333333331</v>
      </c>
      <c r="CO12" s="20">
        <f>CM12+(CB12-CA12)</f>
        <v>9.1966666666666654</v>
      </c>
      <c r="CP12" s="20">
        <f>CB12+2*(CM12-CA12)</f>
        <v>10.27333333333333</v>
      </c>
      <c r="CQ12" s="2" cm="1">
        <f t="array" aca="1" ref="CQ12" ca="1">MAX(_xlfn._xlws.FILTER(CJ12:CP12,CJ12:CP12&lt;BJ12))</f>
        <v>3.9133333333333322</v>
      </c>
      <c r="CR12" s="2" cm="1">
        <f t="array" aca="1" ref="CR12" ca="1">MIN(_xlfn._xlws.FILTER($CJ12:$CP12,$CJ12:$CP12&gt;BJ12))</f>
        <v>6.0166666666666657</v>
      </c>
      <c r="CS12" s="19">
        <f t="shared" ca="1" si="21"/>
        <v>0.53747870528109054</v>
      </c>
      <c r="CT12" s="23">
        <f t="shared" ca="1" si="22"/>
        <v>-0.26873935264054527</v>
      </c>
      <c r="CU12" s="23">
        <f t="shared" ca="1" si="23"/>
        <v>-0.17915956842703018</v>
      </c>
      <c r="CV12" s="23">
        <f t="shared" ca="1" si="24"/>
        <v>-0.10749574105621811</v>
      </c>
      <c r="CW12" s="23">
        <f t="shared" ca="1" si="25"/>
        <v>-5.9719856142343396E-2</v>
      </c>
      <c r="CX12" s="23">
        <f t="shared" ca="1" si="30"/>
        <v>-3.1616394428299444E-2</v>
      </c>
      <c r="CY12" s="23">
        <f t="shared" ca="1" si="31"/>
        <v>-1.6287233493366381E-2</v>
      </c>
      <c r="CZ12" s="23">
        <f t="shared" ca="1" si="32"/>
        <v>-8.2689031581706235E-3</v>
      </c>
      <c r="DA12" s="24">
        <f t="shared" ca="1" si="33"/>
        <v>8.2689031581706235E-3</v>
      </c>
      <c r="DB12" s="24">
        <f t="shared" ca="1" si="34"/>
        <v>1.6287233493366381E-2</v>
      </c>
      <c r="DC12" s="24">
        <f t="shared" ca="1" si="35"/>
        <v>3.1616394428299444E-2</v>
      </c>
      <c r="DD12" s="24">
        <f t="shared" ca="1" si="26"/>
        <v>5.9719856142343396E-2</v>
      </c>
      <c r="DE12" s="24">
        <f t="shared" ca="1" si="27"/>
        <v>0.10749574105621811</v>
      </c>
      <c r="DF12" s="24">
        <f t="shared" ca="1" si="28"/>
        <v>0.17915956842703018</v>
      </c>
      <c r="DG12" s="24">
        <f t="shared" ca="1" si="29"/>
        <v>0.26873935264054527</v>
      </c>
      <c r="DI12" s="19" cm="1">
        <f t="array" aca="1" ref="DI12" ca="1">MAX(_xlfn._xlws.FILTER(CT12:DG12,CT12:DG12&lt;BP12))</f>
        <v>-8.2689031581706235E-3</v>
      </c>
      <c r="DJ12" s="19" cm="1">
        <f t="array" aca="1" ref="DJ12" ca="1">MIN(_xlfn._xlws.FILTER(CT12:DG12,CT12:DG12&gt;BP12))</f>
        <v>8.2689031581706235E-3</v>
      </c>
      <c r="DK12" s="2" cm="1">
        <f t="array" aca="1" ref="DK12" ca="1">_FV(EH12,"Fechamento anterior",TRUE)</f>
        <v>4.99</v>
      </c>
      <c r="DL12" s="36">
        <f ca="1">(BJ12-DM12)/(DN12-DM12)</f>
        <v>0.25764524294229663</v>
      </c>
      <c r="DM12" s="18">
        <f t="shared" ca="1" si="10"/>
        <v>4.948738173240729</v>
      </c>
      <c r="DN12" s="18">
        <f t="shared" ca="1" si="11"/>
        <v>5.0312618267592715</v>
      </c>
      <c r="DO12" s="9"/>
      <c r="DP12" s="9"/>
      <c r="DQ12" s="94">
        <v>6.0672979333266409E-3</v>
      </c>
      <c r="DR12" s="94">
        <v>6.0672979333266409E-3</v>
      </c>
      <c r="DS12" s="94">
        <v>1.5435222672064779E-2</v>
      </c>
      <c r="DT12" s="94">
        <f t="shared" ca="1" si="12"/>
        <v>1.6537806316341247E-2</v>
      </c>
      <c r="DU12" s="87">
        <f ca="1">(BJ12-CF12)/(CF12-CE12)</f>
        <v>0.58687895812570823</v>
      </c>
      <c r="DV12" s="46"/>
      <c r="DW12" s="43">
        <f>_xlfn.STDEV.P(BF12:BI12)</f>
        <v>0.20873128658636658</v>
      </c>
      <c r="DX12" s="76">
        <f ca="1">BO12-$DT$2</f>
        <v>-3.8200000000000123E-2</v>
      </c>
      <c r="DY12" s="76">
        <f ca="1">BO12-BP12*100</f>
        <v>1.3597000000000001</v>
      </c>
      <c r="DZ12" s="101"/>
      <c r="EA12" s="100">
        <v>-1.5049000000000003</v>
      </c>
      <c r="EB12" s="107">
        <v>2.0581999999999998</v>
      </c>
      <c r="EC12" s="107">
        <v>0.18089999999999995</v>
      </c>
      <c r="ED12" s="98">
        <f t="shared" ca="1" si="13"/>
        <v>-1.3979000000000004</v>
      </c>
      <c r="EE12" s="66"/>
      <c r="EF12" s="66"/>
      <c r="EH12" s="2" t="e" vm="12">
        <v>#VALUE!</v>
      </c>
      <c r="EJ12" s="10" cm="1">
        <f t="array" aca="1" ref="EJ12" ca="1">_FV(EH12,"Ações em circulação",TRUE)</f>
        <v>50602840</v>
      </c>
      <c r="EK12" s="21">
        <f>VLOOKUP(BK12,Fundamentus!A:U,5,FALSE)</f>
        <v>0.114</v>
      </c>
      <c r="EL12" s="2">
        <f ca="1">(BJ12*EJ12)/EK12</f>
        <v>2206106270.1754384</v>
      </c>
      <c r="EM12" s="20">
        <v>24586321.971578948</v>
      </c>
      <c r="EN12" s="20">
        <f t="shared" ca="1" si="14"/>
        <v>24487779.598947369</v>
      </c>
      <c r="EP12" s="19">
        <f t="shared" ca="1" si="15"/>
        <v>-4.0080160320641323E-3</v>
      </c>
      <c r="EQ12" s="40" t="str">
        <f>IF(VLOOKUP(BK12,Fundamentus!A:U,3,FALSE)&lt;15,"Bom",IF(VLOOKUP(BK12,Fundamentus!A:U,3,FALSE)&gt;15,"Ruim","n/a"))</f>
        <v>Bom</v>
      </c>
      <c r="ER12" s="36" t="str">
        <f>IF(VLOOKUP(BK12,Fundamentus!A:U,4,FALSE)&lt;1,"Baixo",IF(VLOOKUP(BK12,Fundamentus!A:U,4,FALSE)&lt;1.5,"Moderado",IF(VLOOKUP(BK12,Fundamentus!A:U,4,FALSE)&gt;1.5,"Alto","n/a")))</f>
        <v>Baixo</v>
      </c>
      <c r="ES12" s="20" t="str">
        <f>IF(VLOOKUP(BK12,Fundamentus!A:U,8,FALSE)&lt;0,"Risco elevado",IF(VLOOKUP(BK12,Fundamentus!A:U,8,FALSE)&lt;1,"Saudável",IF(VLOOKUP(BK12,Fundamentus!A:U,8,FALSE)&lt;3,"Estável",IF(VLOOKUP(BK12,Fundamentus!A:U,8,FALSE)&gt;3,"Alerta","n/a"))))</f>
        <v>Alerta</v>
      </c>
      <c r="ET12" s="36" t="str">
        <f t="shared" si="16"/>
        <v>Ruim</v>
      </c>
      <c r="EU12" s="20" t="str">
        <f>IF(VLOOKUP(BK12,Fundamentus!A:U,12,FALSE)&lt;2,"Subvalorizada",IF(VLOOKUP(BK12,Fundamentus!A:U,12,FALSE)&lt;6,"Muita barata",IF(VLOOKUP(BK12,Fundamentus!A:U,12,FALSE)&lt;6,"Barata",IF(VLOOKUP(BK12,Fundamentus!A:U,12,FALSE)&lt;8,"Atrativa",IF(VLOOKUP(BK12,Fundamentus!A:U,12,FALSE)&gt;8,"Supervalorizada","n/a")))))</f>
        <v>Subvalorizada</v>
      </c>
      <c r="EW12" s="20" t="str">
        <f>IF(VLOOKUP(BK12,Fundamentus!A:U,17,FALSE)&lt;0.1,"Fraco retorno",IF(VLOOKUP(BK12,Fundamentus!A:U,17,FALSE)&gt;0.1,"Bom retorno","n/a"))</f>
        <v>Fraco retorno</v>
      </c>
      <c r="EX12" s="20" t="str">
        <f>IF(VLOOKUP(BK12,Fundamentus!A:U,16,FALSE)&lt;0.1,"Ineficiente",IF(VLOOKUP(BK12,Fundamentus!A:U,16,FALSE)&gt;0.1,"Eficiente","n/a"))</f>
        <v>Ineficiente</v>
      </c>
      <c r="EY12" s="41" t="str">
        <f>IF(VLOOKUP(BK12,Fundamentus!A:U,16,FALSE)&lt;0.1,"Oper. Ineficiente",IF(VLOOKUP(BK12,Fundamentus!A:U,16,FALSE)&gt;0.1,"Oper.Eficiente","n/a"))</f>
        <v>Oper. Ineficiente</v>
      </c>
      <c r="EZ12" s="42">
        <f>VLOOKUP(BK12,Fundamentus!A:U,14,FALSE)</f>
        <v>1.11E-2</v>
      </c>
      <c r="FA12" s="20" t="str">
        <f>IF(VLOOKUP(BK12,Fundamentus!A:U,21,FALSE)&lt;0,"Negativo",IF(VLOOKUP(BK12,Fundamentus!A:U,21,FALSE)&lt;0.05,"Fraco",IF(VLOOKUP(BK12,Fundamentus!A:U,21,FALSE)&lt;0.1,"Bom",IF(VLOOKUP(BK12,Fundamentus!A:U,21,FALSE)&gt;0.1,"Muito bom","n/a"))))</f>
        <v>Muito bom</v>
      </c>
      <c r="FC12" s="37" t="str">
        <f>IF(VLOOKUP(BK12,Fundamentus!A:U,15,FALSE)&gt;1,"Bom",IF(VLOOKUP(BK12,Fundamentus!A:U,15,FALSE)&lt;1,"Ruim","n/a"))</f>
        <v>Bom</v>
      </c>
      <c r="FD12" s="20" t="str">
        <f>IF(VLOOKUP(BK12,Fundamentus!A:U,20,FALSE)&lt;0.5,"Baixa",IF(VLOOKUP(BK12,Fundamentus!A:U,20,FALSE)&lt;1,"Moderada",IF(VLOOKUP(BK12,Fundamentus!A:U,20,FALSE)&lt;2,"Alerta",IF(VLOOKUP(BK12,Fundamentus!A:U,20,FALSE)&gt;2,"Alta","n/a"))))</f>
        <v>Baixa</v>
      </c>
    </row>
    <row r="13" spans="1:160" s="2" customFormat="1" ht="11.25" hidden="1"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8">
        <v>19.329999999999998</v>
      </c>
      <c r="BC13" s="62">
        <v>19.04</v>
      </c>
      <c r="BD13" s="62">
        <v>18.88</v>
      </c>
      <c r="BE13" s="62">
        <v>18.89</v>
      </c>
      <c r="BF13" s="62">
        <v>18.91</v>
      </c>
      <c r="BG13" s="81">
        <v>18.489999999999998</v>
      </c>
      <c r="BH13" s="62">
        <v>18.45</v>
      </c>
      <c r="BI13" s="62">
        <v>17.91</v>
      </c>
      <c r="BJ13" s="62" cm="1">
        <f t="array" aca="1" ref="BJ13" ca="1">_FV(EH13,"Preço")</f>
        <v>17.829999999999998</v>
      </c>
      <c r="BK13" s="83" t="s">
        <v>10</v>
      </c>
      <c r="BL13" s="44" cm="1">
        <f t="array" aca="1" ref="BL13" ca="1">_FV(EH13,"Média de volume",TRUE)</f>
        <v>2184230</v>
      </c>
      <c r="BM13" s="44">
        <v>1615700</v>
      </c>
      <c r="BN13" s="44" cm="1">
        <f t="array" aca="1" ref="BN13" ca="1">_FV(EH13,"Volume")</f>
        <v>1055500</v>
      </c>
      <c r="BO13" s="32" cm="1">
        <f t="array" aca="1" ref="BO13" ca="1">_FV(EH13,"Beta")</f>
        <v>0.4642</v>
      </c>
      <c r="BP13" s="86" cm="1">
        <f t="array" aca="1" ref="BP13" ca="1">_FV(EH13,"Variação (%)",TRUE)</f>
        <v>-4.4669999999999996E-3</v>
      </c>
      <c r="BQ13" s="48"/>
      <c r="BR13" s="48"/>
      <c r="BT13" s="20" cm="1">
        <f t="array" aca="1" ref="BT13" ca="1">_FV(EH13,"Baixo")</f>
        <v>17.77</v>
      </c>
      <c r="BU13" s="20" cm="1">
        <f t="array" aca="1" ref="BU13" ca="1">_FV(EH13,"Alto")</f>
        <v>18.02</v>
      </c>
      <c r="BV13" s="32"/>
      <c r="BW13" s="73">
        <f ca="1">SQRT(22.5*(BJ13/VLOOKUP(BK13,Fundamentus!A:U,3,FALSE))*(BJ13/VLOOKUP(BK13,Fundamentus!A:U,4,FALSE)))</f>
        <v>19.759732131355278</v>
      </c>
      <c r="BY13" s="72">
        <f t="shared" ca="1" si="0"/>
        <v>-4.4667783361251731E-3</v>
      </c>
      <c r="BZ13" s="8"/>
      <c r="CA13" s="71">
        <f t="shared" si="17"/>
        <v>16.84</v>
      </c>
      <c r="CB13" s="71">
        <f t="shared" si="1"/>
        <v>20.149999999999999</v>
      </c>
      <c r="CC13" s="71">
        <f t="shared" si="18"/>
        <v>18.184836065573773</v>
      </c>
      <c r="CD13" s="17"/>
      <c r="CE13" s="43">
        <f t="shared" si="19"/>
        <v>16.969788763817249</v>
      </c>
      <c r="CF13" s="18">
        <f>FORECAST("04/07/2025", BF13:BI13, $BF$5:$BI$5)</f>
        <v>17.679999999999836</v>
      </c>
      <c r="CG13" s="43">
        <f t="shared" si="20"/>
        <v>18.390211236182424</v>
      </c>
      <c r="CI13" s="17"/>
      <c r="CJ13" s="20">
        <f>CA13-2*(CB13-CM13)</f>
        <v>13.139999999999997</v>
      </c>
      <c r="CK13" s="20">
        <f>CM13-(CB13-CA13)</f>
        <v>14.989999999999998</v>
      </c>
      <c r="CL13" s="20">
        <f>2*CM13-CB13</f>
        <v>16.449999999999996</v>
      </c>
      <c r="CM13" s="48">
        <f>(CB13+CA13+BI13)/3</f>
        <v>18.299999999999997</v>
      </c>
      <c r="CN13" s="20">
        <f>2*CM13-CA13</f>
        <v>19.759999999999994</v>
      </c>
      <c r="CO13" s="20">
        <f>CM13+(CB13-CA13)</f>
        <v>21.609999999999996</v>
      </c>
      <c r="CP13" s="20">
        <f>CB13+2*(CM13-CA13)</f>
        <v>23.069999999999993</v>
      </c>
      <c r="CQ13" s="2" cm="1">
        <f t="array" aca="1" ref="CQ13" ca="1">MAX(_xlfn._xlws.FILTER(CJ13:CP13,CJ13:CP13&lt;BJ13))</f>
        <v>16.449999999999996</v>
      </c>
      <c r="CR13" s="2" cm="1">
        <f t="array" aca="1" ref="CR13" ca="1">MIN(_xlfn._xlws.FILTER($CJ13:$CP13,$CJ13:$CP13&gt;BJ13))</f>
        <v>18.299999999999997</v>
      </c>
      <c r="CS13" s="19">
        <f t="shared" ca="1" si="21"/>
        <v>0.11246200607902757</v>
      </c>
      <c r="CT13" s="23">
        <f t="shared" ca="1" si="22"/>
        <v>-5.6231003039513783E-2</v>
      </c>
      <c r="CU13" s="23">
        <f t="shared" ca="1" si="23"/>
        <v>-3.7487335359675855E-2</v>
      </c>
      <c r="CV13" s="23">
        <f t="shared" ca="1" si="24"/>
        <v>-2.2492401215805514E-2</v>
      </c>
      <c r="CW13" s="23">
        <f t="shared" ca="1" si="25"/>
        <v>-1.2495778453225284E-2</v>
      </c>
      <c r="CX13" s="23">
        <f t="shared" ca="1" si="30"/>
        <v>-6.6154121222957388E-3</v>
      </c>
      <c r="CY13" s="23">
        <f t="shared" ca="1" si="31"/>
        <v>-3.4079395781523507E-3</v>
      </c>
      <c r="CZ13" s="23">
        <f t="shared" ca="1" si="32"/>
        <v>-1.7301847089081163E-3</v>
      </c>
      <c r="DA13" s="24">
        <f t="shared" ca="1" si="33"/>
        <v>1.7301847089081163E-3</v>
      </c>
      <c r="DB13" s="24">
        <f t="shared" ca="1" si="34"/>
        <v>3.4079395781523507E-3</v>
      </c>
      <c r="DC13" s="24">
        <f t="shared" ca="1" si="35"/>
        <v>6.6154121222957388E-3</v>
      </c>
      <c r="DD13" s="24">
        <f t="shared" ca="1" si="26"/>
        <v>1.2495778453225284E-2</v>
      </c>
      <c r="DE13" s="24">
        <f t="shared" ca="1" si="27"/>
        <v>2.2492401215805514E-2</v>
      </c>
      <c r="DF13" s="24">
        <f t="shared" ca="1" si="28"/>
        <v>3.7487335359675855E-2</v>
      </c>
      <c r="DG13" s="24">
        <f t="shared" ca="1" si="29"/>
        <v>5.6231003039513783E-2</v>
      </c>
      <c r="DI13" s="19" cm="1">
        <f t="array" aca="1" ref="DI13" ca="1">MAX(_xlfn._xlws.FILTER(CT13:DG13,CT13:DG13&lt;BP13))</f>
        <v>-6.6154121222957388E-3</v>
      </c>
      <c r="DJ13" s="19" cm="1">
        <f t="array" aca="1" ref="DJ13" ca="1">MIN(_xlfn._xlws.FILTER(CT13:DG13,CT13:DG13&gt;BP13))</f>
        <v>-3.4079395781523507E-3</v>
      </c>
      <c r="DK13" s="2" cm="1">
        <f t="array" aca="1" ref="DK13" ca="1">_FV(EH13,"Fechamento anterior",TRUE)</f>
        <v>17.91</v>
      </c>
      <c r="DL13" s="36">
        <f ca="1">(BJ13-DM13)/(DN13-DM13)</f>
        <v>0.66988376567518715</v>
      </c>
      <c r="DM13" s="18">
        <f t="shared" ca="1" si="10"/>
        <v>17.791517968889682</v>
      </c>
      <c r="DN13" s="18">
        <f t="shared" ca="1" si="11"/>
        <v>17.848963802155293</v>
      </c>
      <c r="DO13" s="9"/>
      <c r="DP13" s="9"/>
      <c r="DQ13" s="94">
        <v>1.1525015069318884E-2</v>
      </c>
      <c r="DR13" s="94">
        <v>2.4652438650949481E-3</v>
      </c>
      <c r="DS13" s="94">
        <v>2.8063132165988959E-3</v>
      </c>
      <c r="DT13" s="94">
        <f t="shared" ca="1" si="12"/>
        <v>3.2074725441433882E-3</v>
      </c>
      <c r="DU13" s="87">
        <f ca="1">(BJ13-CF13)/(CF13-CE13)</f>
        <v>0.21120476888878548</v>
      </c>
      <c r="DV13" s="46"/>
      <c r="DW13" s="43">
        <f>_xlfn.STDEV.P(BF13:BI13)</f>
        <v>0.35510561809129398</v>
      </c>
      <c r="DX13" s="76">
        <f ca="1">BO13-$DT$2</f>
        <v>-0.53290000000000015</v>
      </c>
      <c r="DY13" s="76">
        <f ca="1">BO13-BP13*100</f>
        <v>0.91090000000000004</v>
      </c>
      <c r="DZ13" s="101"/>
      <c r="EA13" s="100">
        <v>-0.60170000000000012</v>
      </c>
      <c r="EB13" s="107">
        <v>-0.14769999999999994</v>
      </c>
      <c r="EC13" s="107">
        <v>0.18090000000000001</v>
      </c>
      <c r="ED13" s="98">
        <f t="shared" ca="1" si="13"/>
        <v>-1.4438000000000002</v>
      </c>
      <c r="EE13" s="66"/>
      <c r="EF13" s="66"/>
      <c r="EH13" s="2" t="e" vm="13">
        <v>#VALUE!</v>
      </c>
      <c r="EJ13" s="10" cm="1">
        <f t="array" aca="1" ref="EJ13" ca="1">_FV(EH13,"Ações em circulação",TRUE)</f>
        <v>443329700</v>
      </c>
      <c r="EK13" s="21">
        <f>VLOOKUP(BK13,Fundamentus!A:U,5,FALSE)</f>
        <v>0.94799999999999995</v>
      </c>
      <c r="EL13" s="2">
        <f ca="1">(BJ13*EJ13)/EK13</f>
        <v>8338152479.9578056</v>
      </c>
      <c r="EM13" s="20">
        <v>739562324.95158231</v>
      </c>
      <c r="EN13" s="20">
        <f t="shared" ca="1" si="14"/>
        <v>736258863.98027432</v>
      </c>
      <c r="EP13" s="19">
        <f t="shared" ca="1" si="15"/>
        <v>-4.4667783361250768E-3</v>
      </c>
      <c r="EQ13" s="40" t="str">
        <f>IF(VLOOKUP(BK13,Fundamentus!A:U,3,FALSE)&lt;15,"Bom",IF(VLOOKUP(BK13,Fundamentus!A:U,3,FALSE)&gt;15,"Ruim","n/a"))</f>
        <v>Bom</v>
      </c>
      <c r="ER13" s="36" t="str">
        <f>IF(VLOOKUP(BK13,Fundamentus!A:U,4,FALSE)&lt;1,"Baixo",IF(VLOOKUP(BK13,Fundamentus!A:U,4,FALSE)&lt;1.5,"Moderado",IF(VLOOKUP(BK13,Fundamentus!A:U,4,FALSE)&gt;1.5,"Alto","n/a")))</f>
        <v>Alto</v>
      </c>
      <c r="ES13" s="20" t="str">
        <f>IF(VLOOKUP(BK13,Fundamentus!A:U,8,FALSE)&lt;0,"Risco elevado",IF(VLOOKUP(BK13,Fundamentus!A:U,8,FALSE)&lt;1,"Saudável",IF(VLOOKUP(BK13,Fundamentus!A:U,8,FALSE)&lt;3,"Estável",IF(VLOOKUP(BK13,Fundamentus!A:U,8,FALSE)&gt;3,"Alerta","n/a"))))</f>
        <v>Alerta</v>
      </c>
      <c r="ET13" s="36" t="str">
        <f t="shared" si="16"/>
        <v>Ruim</v>
      </c>
      <c r="EU13" s="20" t="str">
        <f>IF(VLOOKUP(BK13,Fundamentus!A:U,12,FALSE)&lt;2,"Subvalorizada",IF(VLOOKUP(BK13,Fundamentus!A:U,12,FALSE)&lt;6,"Muita barata",IF(VLOOKUP(BK13,Fundamentus!A:U,12,FALSE)&lt;6,"Barata",IF(VLOOKUP(BK13,Fundamentus!A:U,12,FALSE)&lt;8,"Atrativa",IF(VLOOKUP(BK13,Fundamentus!A:U,12,FALSE)&gt;8,"Supervalorizada","n/a")))))</f>
        <v>Atrativa</v>
      </c>
      <c r="EW13" s="20" t="str">
        <f>IF(VLOOKUP(BK13,Fundamentus!A:U,17,FALSE)&lt;0.1,"Fraco retorno",IF(VLOOKUP(BK13,Fundamentus!A:U,17,FALSE)&gt;0.1,"Bom retorno","n/a"))</f>
        <v>Bom retorno</v>
      </c>
      <c r="EX13" s="20" t="str">
        <f>IF(VLOOKUP(BK13,Fundamentus!A:U,16,FALSE)&lt;0.1,"Ineficiente",IF(VLOOKUP(BK13,Fundamentus!A:U,16,FALSE)&gt;0.1,"Eficiente","n/a"))</f>
        <v>Eficiente</v>
      </c>
      <c r="EY13" s="41" t="str">
        <f>IF(VLOOKUP(BK13,Fundamentus!A:U,16,FALSE)&lt;0.1,"Oper. Ineficiente",IF(VLOOKUP(BK13,Fundamentus!A:U,16,FALSE)&gt;0.1,"Oper.Eficiente","n/a"))</f>
        <v>Oper.Eficiente</v>
      </c>
      <c r="EZ13" s="42">
        <f>VLOOKUP(BK13,Fundamentus!A:U,14,FALSE)</f>
        <v>8.8300000000000003E-2</v>
      </c>
      <c r="FA13" s="20" t="str">
        <f>IF(VLOOKUP(BK13,Fundamentus!A:U,21,FALSE)&lt;0,"Negativo",IF(VLOOKUP(BK13,Fundamentus!A:U,21,FALSE)&lt;0.05,"Fraco",IF(VLOOKUP(BK13,Fundamentus!A:U,21,FALSE)&lt;0.1,"Bom",IF(VLOOKUP(BK13,Fundamentus!A:U,21,FALSE)&gt;0.1,"Muito bom","n/a"))))</f>
        <v>Muito bom</v>
      </c>
      <c r="FC13" s="37" t="str">
        <f>IF(VLOOKUP(BK13,Fundamentus!A:U,15,FALSE)&gt;1,"Bom",IF(VLOOKUP(BK13,Fundamentus!A:U,15,FALSE)&lt;1,"Ruim","n/a"))</f>
        <v>Bom</v>
      </c>
      <c r="FD13" s="20" t="str">
        <f>IF(VLOOKUP(BK13,Fundamentus!A:U,20,FALSE)&lt;0.5,"Baixa",IF(VLOOKUP(BK13,Fundamentus!A:U,20,FALSE)&lt;1,"Moderada",IF(VLOOKUP(BK13,Fundamentus!A:U,20,FALSE)&lt;2,"Alerta",IF(VLOOKUP(BK13,Fundamentus!A:U,20,FALSE)&gt;2,"Alta","n/a"))))</f>
        <v>Alerta</v>
      </c>
    </row>
    <row r="14" spans="1:160" s="2" customFormat="1" ht="11.25" hidden="1"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8">
        <v>5.51</v>
      </c>
      <c r="BC14" s="62">
        <v>5.81</v>
      </c>
      <c r="BD14" s="62">
        <v>5.88</v>
      </c>
      <c r="BE14" s="62">
        <v>5.83</v>
      </c>
      <c r="BF14" s="62">
        <v>6.25</v>
      </c>
      <c r="BG14" s="81">
        <v>6.3</v>
      </c>
      <c r="BH14" s="62">
        <v>6.42</v>
      </c>
      <c r="BI14" s="62">
        <v>6.85</v>
      </c>
      <c r="BJ14" s="62" cm="1">
        <f t="array" aca="1" ref="BJ14" ca="1">_FV(EH14,"Preço")</f>
        <v>6.78</v>
      </c>
      <c r="BK14" s="83" t="s">
        <v>123</v>
      </c>
      <c r="BL14" s="44" cm="1">
        <f t="array" aca="1" ref="BL14" ca="1">_FV(EH14,"Média de volume",TRUE)</f>
        <v>732380</v>
      </c>
      <c r="BM14" s="44">
        <v>505400</v>
      </c>
      <c r="BN14" s="44" cm="1">
        <f t="array" aca="1" ref="BN14" ca="1">_FV(EH14,"Volume")</f>
        <v>107100</v>
      </c>
      <c r="BO14" s="32" cm="1">
        <f t="array" aca="1" ref="BO14" ca="1">_FV(EH14,"Beta")</f>
        <v>1.2391000000000001</v>
      </c>
      <c r="BP14" s="86" cm="1">
        <f t="array" aca="1" ref="BP14" ca="1">_FV(EH14,"Variação (%)",TRUE)</f>
        <v>-1.0219000000000001E-2</v>
      </c>
      <c r="BQ14" s="48"/>
      <c r="BR14" s="48"/>
      <c r="BT14" s="20" cm="1">
        <f t="array" aca="1" ref="BT14" ca="1">_FV(EH14,"Baixo")</f>
        <v>6.75</v>
      </c>
      <c r="BU14" s="20" cm="1">
        <f t="array" aca="1" ref="BU14" ca="1">_FV(EH14,"Alto")</f>
        <v>6.84</v>
      </c>
      <c r="BV14" s="32"/>
      <c r="BW14" s="73" t="e">
        <f ca="1">SQRT(22.5*(BJ14/VLOOKUP(BK14,Fundamentus!A:U,3,FALSE))*(BJ14/VLOOKUP(BK14,Fundamentus!A:U,4,FALSE)))</f>
        <v>#NUM!</v>
      </c>
      <c r="BY14" s="72">
        <f t="shared" ca="1" si="0"/>
        <v>-1.0218978102189693E-2</v>
      </c>
      <c r="BZ14" s="8"/>
      <c r="CA14" s="71">
        <f t="shared" ref="CA14:CA77" si="36">MIN(A14:BI14)</f>
        <v>5.05</v>
      </c>
      <c r="CB14" s="71">
        <f t="shared" si="1"/>
        <v>7</v>
      </c>
      <c r="CC14" s="71">
        <f t="shared" ref="CC14:CC77" si="37">AVERAGE(A14:BI14)</f>
        <v>6.0665573770491825</v>
      </c>
      <c r="CD14" s="17"/>
      <c r="CE14" s="43">
        <f t="shared" si="19"/>
        <v>6.4624537059715195</v>
      </c>
      <c r="CF14" s="18">
        <f>FORECAST("04/07/2025", BF14:BI14, $BF$5:$BI$5)</f>
        <v>6.9349999999999454</v>
      </c>
      <c r="CG14" s="43">
        <f t="shared" si="20"/>
        <v>7.4075462940283714</v>
      </c>
      <c r="CI14" s="17"/>
      <c r="CJ14" s="20">
        <f>CA14-2*(CB14-CM14)</f>
        <v>3.6499999999999995</v>
      </c>
      <c r="CK14" s="20">
        <f>CM14-(CB14-CA14)</f>
        <v>4.3499999999999996</v>
      </c>
      <c r="CL14" s="20">
        <f>2*CM14-CB14</f>
        <v>5.6</v>
      </c>
      <c r="CM14" s="48">
        <f>(CB14+CA14+BI14)/3</f>
        <v>6.3</v>
      </c>
      <c r="CN14" s="20">
        <f>2*CM14-CA14</f>
        <v>7.55</v>
      </c>
      <c r="CO14" s="20">
        <f>CM14+(CB14-CA14)</f>
        <v>8.25</v>
      </c>
      <c r="CP14" s="20">
        <f>CB14+2*(CM14-CA14)</f>
        <v>9.5</v>
      </c>
      <c r="CQ14" s="2" cm="1">
        <f t="array" aca="1" ref="CQ14" ca="1">MAX(_xlfn._xlws.FILTER(CJ14:CP14,CJ14:CP14&lt;BJ14))</f>
        <v>6.3</v>
      </c>
      <c r="CR14" s="2" cm="1">
        <f t="array" aca="1" ref="CR14" ca="1">MIN(_xlfn._xlws.FILTER($CJ14:$CP14,$CJ14:$CP14&gt;BJ14))</f>
        <v>7.55</v>
      </c>
      <c r="CS14" s="19">
        <f t="shared" ref="CS14:CS18" ca="1" si="38">(CR14/CQ14)-1</f>
        <v>0.19841269841269837</v>
      </c>
      <c r="CT14" s="23">
        <f t="shared" ref="CT14:CT18" ca="1" si="39">-$CS14/2</f>
        <v>-9.9206349206349187E-2</v>
      </c>
      <c r="CU14" s="23">
        <f t="shared" ref="CU14:CU18" ca="1" si="40">-$CS14/3</f>
        <v>-6.613756613756612E-2</v>
      </c>
      <c r="CV14" s="23">
        <f t="shared" ref="CV14:CV18" ca="1" si="41">-$CS14/5</f>
        <v>-3.9682539682539673E-2</v>
      </c>
      <c r="CW14" s="23">
        <f t="shared" ref="CW14:CW18" ca="1" si="42">-$CS14/9</f>
        <v>-2.2045855379188708E-2</v>
      </c>
      <c r="CX14" s="23">
        <f t="shared" ref="CX14:CX18" ca="1" si="43">-$CS14/17</f>
        <v>-1.1671335200746964E-2</v>
      </c>
      <c r="CY14" s="23">
        <f t="shared" ref="CY14:CY18" ca="1" si="44">-$CS14/33</f>
        <v>-6.0125060125060109E-3</v>
      </c>
      <c r="CZ14" s="23">
        <f t="shared" ref="CZ14:CZ18" ca="1" si="45">-$CS14/65</f>
        <v>-3.0525030525030521E-3</v>
      </c>
      <c r="DA14" s="24">
        <f t="shared" ref="DA14:DA18" ca="1" si="46">-$CS14/65*-1</f>
        <v>3.0525030525030521E-3</v>
      </c>
      <c r="DB14" s="24">
        <f t="shared" ref="DB14:DB18" ca="1" si="47">-$CS14/33*-1</f>
        <v>6.0125060125060109E-3</v>
      </c>
      <c r="DC14" s="24">
        <f t="shared" ref="DC14:DC18" ca="1" si="48">-$CS14/17*-1</f>
        <v>1.1671335200746964E-2</v>
      </c>
      <c r="DD14" s="24">
        <f t="shared" ref="DD14:DD18" ca="1" si="49">-$CS14/9*-1</f>
        <v>2.2045855379188708E-2</v>
      </c>
      <c r="DE14" s="24">
        <f t="shared" ref="DE14:DE18" ca="1" si="50">-$CS14/5*-1</f>
        <v>3.9682539682539673E-2</v>
      </c>
      <c r="DF14" s="24">
        <f t="shared" ref="DF14:DF18" ca="1" si="51">-$CS14/3*-1</f>
        <v>6.613756613756612E-2</v>
      </c>
      <c r="DG14" s="24">
        <f t="shared" ref="DG14:DG18" ca="1" si="52">-$CS14/2*-1</f>
        <v>9.9206349206349187E-2</v>
      </c>
      <c r="DI14" s="19" cm="1">
        <f t="array" aca="1" ref="DI14" ca="1">MAX(_xlfn._xlws.FILTER(CT14:DG14,CT14:DG14&lt;BP14))</f>
        <v>-1.1671335200746964E-2</v>
      </c>
      <c r="DJ14" s="19" cm="1">
        <f t="array" aca="1" ref="DJ14" ca="1">MIN(_xlfn._xlws.FILTER(CT14:DG14,CT14:DG14&gt;BP14))</f>
        <v>-6.0125060125060109E-3</v>
      </c>
      <c r="DK14" s="2" cm="1">
        <f t="array" aca="1" ref="DK14" ca="1">_FV(EH14,"Fechamento anterior",TRUE)</f>
        <v>6.85</v>
      </c>
      <c r="DL14" s="36">
        <f ca="1">(BJ14-DM14)/(DN14-DM14)</f>
        <v>0.25665328467155168</v>
      </c>
      <c r="DM14" s="18">
        <f t="shared" ref="DM14:DM18" ca="1" si="53">DK14+(DK14*DI14)</f>
        <v>6.7700513538748828</v>
      </c>
      <c r="DN14" s="18">
        <f t="shared" ref="DN14:DN18" ca="1" si="54">DK14+(DK14*DJ14)</f>
        <v>6.8088143338143334</v>
      </c>
      <c r="DO14" s="9"/>
      <c r="DP14" s="9"/>
      <c r="DQ14" s="94">
        <v>1.7670682730923704E-2</v>
      </c>
      <c r="DR14" s="94">
        <v>6.9296795023230219E-3</v>
      </c>
      <c r="DS14" s="94">
        <v>5.3657514147977406E-3</v>
      </c>
      <c r="DT14" s="94">
        <f t="shared" ca="1" si="12"/>
        <v>5.658829188240953E-3</v>
      </c>
      <c r="DU14" s="87">
        <f ca="1">(BJ14-CF14)/(CF14-CE14)</f>
        <v>-0.32801019066001008</v>
      </c>
      <c r="DV14" s="46"/>
      <c r="DW14" s="43">
        <f>_xlfn.STDEV.P(BF14:BI14)</f>
        <v>0.23627314701421306</v>
      </c>
      <c r="DX14" s="76">
        <f ca="1">BO14-$DT$2</f>
        <v>0.24199999999999999</v>
      </c>
      <c r="DY14" s="76">
        <f ca="1">BO14-BP14*100</f>
        <v>2.2610000000000001</v>
      </c>
      <c r="DZ14" s="101"/>
      <c r="EA14" s="100">
        <v>2.0148000000000001</v>
      </c>
      <c r="EB14" s="107">
        <v>-0.29180000000000028</v>
      </c>
      <c r="EC14" s="107">
        <v>1.8128999999999997</v>
      </c>
      <c r="ED14" s="98">
        <f t="shared" ca="1" si="13"/>
        <v>-2.0190000000000001</v>
      </c>
      <c r="EE14" s="66"/>
      <c r="EF14" s="66"/>
      <c r="EH14" s="2" t="e" vm="14">
        <v>#VALUE!</v>
      </c>
      <c r="EJ14" s="10" cm="1">
        <f t="array" aca="1" ref="EJ14" ca="1">_FV(EH14,"Ações em circulação",TRUE)</f>
        <v>199959500</v>
      </c>
      <c r="EK14" s="21">
        <f>VLOOKUP(BK14,Fundamentus!A:U,5,FALSE)</f>
        <v>0.745</v>
      </c>
      <c r="EL14" s="2">
        <f ca="1">(BJ14*EJ14)/EK14</f>
        <v>1819765651.0067115</v>
      </c>
      <c r="EM14" s="20">
        <v>-25188186.949664433</v>
      </c>
      <c r="EN14" s="20">
        <f t="shared" ca="1" si="14"/>
        <v>-24930789.41879195</v>
      </c>
      <c r="EP14" s="19">
        <f t="shared" ca="1" si="15"/>
        <v>-1.0218978102189746E-2</v>
      </c>
      <c r="EQ14" s="40" t="str">
        <f>IF(VLOOKUP(BK14,Fundamentus!A:U,3,FALSE)&lt;15,"Bom",IF(VLOOKUP(BK14,Fundamentus!A:U,3,FALSE)&gt;15,"Ruim","n/a"))</f>
        <v>Bom</v>
      </c>
      <c r="ER14" s="36" t="str">
        <f>IF(VLOOKUP(BK14,Fundamentus!A:U,4,FALSE)&lt;1,"Baixo",IF(VLOOKUP(BK14,Fundamentus!A:U,4,FALSE)&lt;1.5,"Moderado",IF(VLOOKUP(BK14,Fundamentus!A:U,4,FALSE)&gt;1.5,"Alto","n/a")))</f>
        <v>Moderado</v>
      </c>
      <c r="ES14" s="20" t="str">
        <f>IF(VLOOKUP(BK14,Fundamentus!A:U,8,FALSE)&lt;0,"Risco elevado",IF(VLOOKUP(BK14,Fundamentus!A:U,8,FALSE)&lt;1,"Saudável",IF(VLOOKUP(BK14,Fundamentus!A:U,8,FALSE)&lt;3,"Estável",IF(VLOOKUP(BK14,Fundamentus!A:U,8,FALSE)&gt;3,"Alerta","n/a"))))</f>
        <v>Alerta</v>
      </c>
      <c r="ET14" s="36" t="str">
        <f t="shared" si="16"/>
        <v>Ruim</v>
      </c>
      <c r="EU14" s="20" t="str">
        <f>IF(VLOOKUP(BK14,Fundamentus!A:U,12,FALSE)&lt;2,"Subvalorizada",IF(VLOOKUP(BK14,Fundamentus!A:U,12,FALSE)&lt;6,"Muita barata",IF(VLOOKUP(BK14,Fundamentus!A:U,12,FALSE)&lt;6,"Barata",IF(VLOOKUP(BK14,Fundamentus!A:U,12,FALSE)&lt;8,"Atrativa",IF(VLOOKUP(BK14,Fundamentus!A:U,12,FALSE)&gt;8,"Supervalorizada","n/a")))))</f>
        <v>Muita barata</v>
      </c>
      <c r="EW14" s="20" t="str">
        <f>IF(VLOOKUP(BK14,Fundamentus!A:U,17,FALSE)&lt;0.1,"Fraco retorno",IF(VLOOKUP(BK14,Fundamentus!A:U,17,FALSE)&gt;0.1,"Bom retorno","n/a"))</f>
        <v>Fraco retorno</v>
      </c>
      <c r="EX14" s="20" t="str">
        <f>IF(VLOOKUP(BK14,Fundamentus!A:U,16,FALSE)&lt;0.1,"Ineficiente",IF(VLOOKUP(BK14,Fundamentus!A:U,16,FALSE)&gt;0.1,"Eficiente","n/a"))</f>
        <v>Ineficiente</v>
      </c>
      <c r="EY14" s="41" t="str">
        <f>IF(VLOOKUP(BK14,Fundamentus!A:U,16,FALSE)&lt;0.1,"Oper. Ineficiente",IF(VLOOKUP(BK14,Fundamentus!A:U,16,FALSE)&gt;0.1,"Oper.Eficiente","n/a"))</f>
        <v>Oper. Ineficiente</v>
      </c>
      <c r="EZ14" s="42">
        <f>VLOOKUP(BK14,Fundamentus!A:U,14,FALSE)</f>
        <v>-1.37E-2</v>
      </c>
      <c r="FA14" s="20" t="str">
        <f>IF(VLOOKUP(BK14,Fundamentus!A:U,21,FALSE)&lt;0,"Negativo",IF(VLOOKUP(BK14,Fundamentus!A:U,21,FALSE)&lt;0.05,"Fraco",IF(VLOOKUP(BK14,Fundamentus!A:U,21,FALSE)&lt;0.1,"Bom",IF(VLOOKUP(BK14,Fundamentus!A:U,21,FALSE)&gt;0.1,"Muito bom","n/a"))))</f>
        <v>Muito bom</v>
      </c>
      <c r="FC14" s="37" t="str">
        <f>IF(VLOOKUP(BK14,Fundamentus!A:U,15,FALSE)&gt;1,"Bom",IF(VLOOKUP(BK14,Fundamentus!A:U,15,FALSE)&lt;1,"Ruim","n/a"))</f>
        <v>Bom</v>
      </c>
      <c r="FD14" s="20" t="str">
        <f>IF(VLOOKUP(BK14,Fundamentus!A:U,20,FALSE)&lt;0.5,"Baixa",IF(VLOOKUP(BK14,Fundamentus!A:U,20,FALSE)&lt;1,"Moderada",IF(VLOOKUP(BK14,Fundamentus!A:U,20,FALSE)&lt;2,"Alerta",IF(VLOOKUP(BK14,Fundamentus!A:U,20,FALSE)&gt;2,"Alta","n/a"))))</f>
        <v>Alerta</v>
      </c>
    </row>
    <row r="15" spans="1:160" s="2" customFormat="1" ht="11.25" hidden="1"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8">
        <v>15.53</v>
      </c>
      <c r="BC15" s="62">
        <v>15.91</v>
      </c>
      <c r="BD15" s="62">
        <v>15.69</v>
      </c>
      <c r="BE15" s="62">
        <v>15.4</v>
      </c>
      <c r="BF15" s="62">
        <v>14.98</v>
      </c>
      <c r="BG15" s="81">
        <v>15.5</v>
      </c>
      <c r="BH15" s="62">
        <v>15.37</v>
      </c>
      <c r="BI15" s="62">
        <v>15.34</v>
      </c>
      <c r="BJ15" s="62" cm="1">
        <f t="array" aca="1" ref="BJ15" ca="1">_FV(EH15,"Preço")</f>
        <v>15.46</v>
      </c>
      <c r="BK15" s="83" t="s">
        <v>12</v>
      </c>
      <c r="BL15" s="44" cm="1">
        <f t="array" aca="1" ref="BL15" ca="1">_FV(EH15,"Média de volume",TRUE)</f>
        <v>74720</v>
      </c>
      <c r="BM15" s="44">
        <v>42600</v>
      </c>
      <c r="BN15" s="44" cm="1">
        <f t="array" aca="1" ref="BN15" ca="1">_FV(EH15,"Volume")</f>
        <v>58900</v>
      </c>
      <c r="BO15" s="32" cm="1">
        <f t="array" aca="1" ref="BO15" ca="1">_FV(EH15,"Beta")</f>
        <v>1.0892999999999999</v>
      </c>
      <c r="BP15" s="86" cm="1">
        <f t="array" aca="1" ref="BP15" ca="1">_FV(EH15,"Variação (%)",TRUE)</f>
        <v>7.8230000000000001E-3</v>
      </c>
      <c r="BQ15" s="48"/>
      <c r="BR15" s="48"/>
      <c r="BT15" s="20" cm="1">
        <f t="array" aca="1" ref="BT15" ca="1">_FV(EH15,"Baixo")</f>
        <v>15.1</v>
      </c>
      <c r="BU15" s="20" cm="1">
        <f t="array" aca="1" ref="BU15" ca="1">_FV(EH15,"Alto")</f>
        <v>15.49</v>
      </c>
      <c r="BV15" s="32"/>
      <c r="BW15" s="73">
        <f ca="1">SQRT(22.5*(BJ15/VLOOKUP(BK15,Fundamentus!A:U,3,FALSE))*(BJ15/VLOOKUP(BK15,Fundamentus!A:U,4,FALSE)))</f>
        <v>22.290761906181391</v>
      </c>
      <c r="BY15" s="72">
        <f t="shared" ca="1" si="0"/>
        <v>7.8226857887875485E-3</v>
      </c>
      <c r="BZ15" s="8"/>
      <c r="CA15" s="71">
        <f t="shared" si="36"/>
        <v>12.24</v>
      </c>
      <c r="CB15" s="71">
        <f t="shared" si="1"/>
        <v>16.399999999999999</v>
      </c>
      <c r="CC15" s="71">
        <f t="shared" si="37"/>
        <v>14.477868852459014</v>
      </c>
      <c r="CD15" s="17"/>
      <c r="CE15" s="43">
        <f t="shared" si="19"/>
        <v>15.149156767585673</v>
      </c>
      <c r="CF15" s="18">
        <f>FORECAST("04/07/2025", BF15:BI15, $BF$5:$BI$5)</f>
        <v>15.535000000000082</v>
      </c>
      <c r="CG15" s="43">
        <f t="shared" si="20"/>
        <v>15.920843232414491</v>
      </c>
      <c r="CI15" s="17"/>
      <c r="CJ15" s="20">
        <f>CA15-2*(CB15-CM15)</f>
        <v>8.7600000000000069</v>
      </c>
      <c r="CK15" s="20">
        <f>CM15-(CB15-CA15)</f>
        <v>10.500000000000004</v>
      </c>
      <c r="CL15" s="20">
        <f>2*CM15-CB15</f>
        <v>12.920000000000005</v>
      </c>
      <c r="CM15" s="48">
        <f>(CB15+CA15+BI15)/3</f>
        <v>14.660000000000002</v>
      </c>
      <c r="CN15" s="20">
        <f>2*CM15-CA15</f>
        <v>17.080000000000005</v>
      </c>
      <c r="CO15" s="20">
        <f>CM15+(CB15-CA15)</f>
        <v>18.82</v>
      </c>
      <c r="CP15" s="20">
        <f>CB15+2*(CM15-CA15)</f>
        <v>21.240000000000002</v>
      </c>
      <c r="CQ15" s="2" cm="1">
        <f t="array" aca="1" ref="CQ15" ca="1">MAX(_xlfn._xlws.FILTER(CJ15:CP15,CJ15:CP15&lt;BJ15))</f>
        <v>14.660000000000002</v>
      </c>
      <c r="CR15" s="2" cm="1">
        <f t="array" aca="1" ref="CR15" ca="1">MIN(_xlfn._xlws.FILTER($CJ15:$CP15,$CJ15:$CP15&gt;BJ15))</f>
        <v>17.080000000000005</v>
      </c>
      <c r="CS15" s="19">
        <f t="shared" ca="1" si="38"/>
        <v>0.16507503410641222</v>
      </c>
      <c r="CT15" s="23">
        <f t="shared" ca="1" si="39"/>
        <v>-8.2537517053206111E-2</v>
      </c>
      <c r="CU15" s="23">
        <f t="shared" ca="1" si="40"/>
        <v>-5.5025011368804076E-2</v>
      </c>
      <c r="CV15" s="23">
        <f t="shared" ca="1" si="41"/>
        <v>-3.3015006821282444E-2</v>
      </c>
      <c r="CW15" s="23">
        <f t="shared" ca="1" si="42"/>
        <v>-1.8341670456268024E-2</v>
      </c>
      <c r="CX15" s="23">
        <f t="shared" ca="1" si="43"/>
        <v>-9.7102961239066005E-3</v>
      </c>
      <c r="CY15" s="23">
        <f t="shared" ca="1" si="44"/>
        <v>-5.0022737608003704E-3</v>
      </c>
      <c r="CZ15" s="23">
        <f t="shared" ca="1" si="45"/>
        <v>-2.5396159093294189E-3</v>
      </c>
      <c r="DA15" s="24">
        <f t="shared" ca="1" si="46"/>
        <v>2.5396159093294189E-3</v>
      </c>
      <c r="DB15" s="24">
        <f t="shared" ca="1" si="47"/>
        <v>5.0022737608003704E-3</v>
      </c>
      <c r="DC15" s="24">
        <f t="shared" ca="1" si="48"/>
        <v>9.7102961239066005E-3</v>
      </c>
      <c r="DD15" s="24">
        <f t="shared" ca="1" si="49"/>
        <v>1.8341670456268024E-2</v>
      </c>
      <c r="DE15" s="24">
        <f t="shared" ca="1" si="50"/>
        <v>3.3015006821282444E-2</v>
      </c>
      <c r="DF15" s="24">
        <f t="shared" ca="1" si="51"/>
        <v>5.5025011368804076E-2</v>
      </c>
      <c r="DG15" s="24">
        <f t="shared" ca="1" si="52"/>
        <v>8.2537517053206111E-2</v>
      </c>
      <c r="DI15" s="19" cm="1">
        <f t="array" aca="1" ref="DI15" ca="1">MAX(_xlfn._xlws.FILTER(CT15:DG15,CT15:DG15&lt;BP15))</f>
        <v>5.0022737608003704E-3</v>
      </c>
      <c r="DJ15" s="19" cm="1">
        <f t="array" aca="1" ref="DJ15" ca="1">MIN(_xlfn._xlws.FILTER(CT15:DG15,CT15:DG15&gt;BP15))</f>
        <v>9.7102961239066005E-3</v>
      </c>
      <c r="DK15" s="2" cm="1">
        <f t="array" aca="1" ref="DK15" ca="1">_FV(EH15,"Fechamento anterior",TRUE)</f>
        <v>15.34</v>
      </c>
      <c r="DL15" s="36">
        <f ca="1">(BJ15-DM15)/(DN15-DM15)</f>
        <v>0.59906512978548088</v>
      </c>
      <c r="DM15" s="18">
        <f t="shared" ca="1" si="53"/>
        <v>15.416734879490678</v>
      </c>
      <c r="DN15" s="18">
        <f t="shared" ca="1" si="54"/>
        <v>15.488955942540727</v>
      </c>
      <c r="DO15" s="9"/>
      <c r="DP15" s="9"/>
      <c r="DQ15" s="94">
        <v>4.8853664688624336E-3</v>
      </c>
      <c r="DR15" s="94">
        <v>8.9565051929144605E-3</v>
      </c>
      <c r="DS15" s="94">
        <v>5.1723536997664828E-3</v>
      </c>
      <c r="DT15" s="94">
        <f t="shared" ca="1" si="12"/>
        <v>4.7080223631062301E-3</v>
      </c>
      <c r="DU15" s="87">
        <f ca="1">(BJ15-CF15)/(CF15-CE15)</f>
        <v>-0.19437946217371621</v>
      </c>
      <c r="DV15" s="46"/>
      <c r="DW15" s="43">
        <f>_xlfn.STDEV.P(BF15:BI15)</f>
        <v>0.19292161620720447</v>
      </c>
      <c r="DX15" s="76">
        <f ca="1">BO15-$DT$2</f>
        <v>9.2199999999999838E-2</v>
      </c>
      <c r="DY15" s="76">
        <f ca="1">BO15-BP15*100</f>
        <v>0.30699999999999994</v>
      </c>
      <c r="DZ15" s="101"/>
      <c r="EA15" s="100">
        <v>0.29869999999999997</v>
      </c>
      <c r="EB15" s="107">
        <v>-1.3563000000000001</v>
      </c>
      <c r="EC15" s="107">
        <v>0.57360000000000011</v>
      </c>
      <c r="ED15" s="98">
        <f t="shared" ca="1" si="13"/>
        <v>-0.2148000000000001</v>
      </c>
      <c r="EE15" s="66"/>
      <c r="EF15" s="66"/>
      <c r="EH15" s="2" t="e" vm="15">
        <v>#VALUE!</v>
      </c>
      <c r="EJ15" s="10" cm="1">
        <f t="array" aca="1" ref="EJ15" ca="1">_FV(EH15,"Ações em circulação",TRUE)</f>
        <v>3749266000</v>
      </c>
      <c r="EK15" s="21">
        <f>VLOOKUP(BK15,Fundamentus!A:U,5,FALSE)</f>
        <v>0</v>
      </c>
      <c r="EL15" s="2" t="e">
        <f ca="1">(BJ15*EJ15)/EK15</f>
        <v>#DIV/0!</v>
      </c>
      <c r="EM15" s="20" t="e">
        <v>#DIV/0!</v>
      </c>
      <c r="EN15" s="20" t="e">
        <f t="shared" ca="1" si="14"/>
        <v>#DIV/0!</v>
      </c>
      <c r="EP15" s="19" t="e">
        <f t="shared" ca="1" si="15"/>
        <v>#DIV/0!</v>
      </c>
      <c r="EQ15" s="40" t="str">
        <f>IF(VLOOKUP(BK15,Fundamentus!A:U,3,FALSE)&lt;15,"Bom",IF(VLOOKUP(BK15,Fundamentus!A:U,3,FALSE)&gt;15,"Ruim","n/a"))</f>
        <v>Bom</v>
      </c>
      <c r="ER15" s="36" t="str">
        <f>IF(VLOOKUP(BK15,Fundamentus!A:U,4,FALSE)&lt;1,"Baixo",IF(VLOOKUP(BK15,Fundamentus!A:U,4,FALSE)&lt;1.5,"Moderado",IF(VLOOKUP(BK15,Fundamentus!A:U,4,FALSE)&gt;1.5,"Alto","n/a")))</f>
        <v>Moderado</v>
      </c>
      <c r="ES15" s="20" t="str">
        <f>IF(VLOOKUP(BK15,Fundamentus!A:U,8,FALSE)&lt;0,"Risco elevado",IF(VLOOKUP(BK15,Fundamentus!A:U,8,FALSE)&lt;1,"Saudável",IF(VLOOKUP(BK15,Fundamentus!A:U,8,FALSE)&lt;3,"Estável",IF(VLOOKUP(BK15,Fundamentus!A:U,8,FALSE)&gt;3,"Alerta","n/a"))))</f>
        <v>Saudável</v>
      </c>
      <c r="ET15" s="36" t="str">
        <f t="shared" si="16"/>
        <v>Ruim</v>
      </c>
      <c r="EU15" s="20" t="str">
        <f>IF(VLOOKUP(BK15,Fundamentus!A:U,12,FALSE)&lt;2,"Subvalorizada",IF(VLOOKUP(BK15,Fundamentus!A:U,12,FALSE)&lt;6,"Muita barata",IF(VLOOKUP(BK15,Fundamentus!A:U,12,FALSE)&lt;6,"Barata",IF(VLOOKUP(BK15,Fundamentus!A:U,12,FALSE)&lt;8,"Atrativa",IF(VLOOKUP(BK15,Fundamentus!A:U,12,FALSE)&gt;8,"Supervalorizada","n/a")))))</f>
        <v>Subvalorizada</v>
      </c>
      <c r="EW15" s="20" t="str">
        <f>IF(VLOOKUP(BK15,Fundamentus!A:U,17,FALSE)&lt;0.1,"Fraco retorno",IF(VLOOKUP(BK15,Fundamentus!A:U,17,FALSE)&gt;0.1,"Bom retorno","n/a"))</f>
        <v>Bom retorno</v>
      </c>
      <c r="EX15" s="20" t="str">
        <f>IF(VLOOKUP(BK15,Fundamentus!A:U,16,FALSE)&lt;0.1,"Ineficiente",IF(VLOOKUP(BK15,Fundamentus!A:U,16,FALSE)&gt;0.1,"Eficiente","n/a"))</f>
        <v>Ineficiente</v>
      </c>
      <c r="EY15" s="41" t="str">
        <f>IF(VLOOKUP(BK15,Fundamentus!A:U,16,FALSE)&lt;0.1,"Oper. Ineficiente",IF(VLOOKUP(BK15,Fundamentus!A:U,16,FALSE)&gt;0.1,"Oper.Eficiente","n/a"))</f>
        <v>Oper. Ineficiente</v>
      </c>
      <c r="EZ15" s="42">
        <f>VLOOKUP(BK15,Fundamentus!A:U,14,FALSE)</f>
        <v>0</v>
      </c>
      <c r="FA15" s="20" t="str">
        <f>IF(VLOOKUP(BK15,Fundamentus!A:U,21,FALSE)&lt;0,"Negativo",IF(VLOOKUP(BK15,Fundamentus!A:U,21,FALSE)&lt;0.05,"Fraco",IF(VLOOKUP(BK15,Fundamentus!A:U,21,FALSE)&lt;0.1,"Bom",IF(VLOOKUP(BK15,Fundamentus!A:U,21,FALSE)&gt;0.1,"Muito bom","n/a"))))</f>
        <v>Negativo</v>
      </c>
      <c r="FC15" s="37" t="str">
        <f>IF(VLOOKUP(BK15,Fundamentus!A:U,15,FALSE)&gt;1,"Bom",IF(VLOOKUP(BK15,Fundamentus!A:U,15,FALSE)&lt;1,"Ruim","n/a"))</f>
        <v>Ruim</v>
      </c>
      <c r="FD15" s="20" t="str">
        <f>IF(VLOOKUP(BK15,Fundamentus!A:U,20,FALSE)&lt;0.5,"Baixa",IF(VLOOKUP(BK15,Fundamentus!A:U,20,FALSE)&lt;1,"Moderada",IF(VLOOKUP(BK15,Fundamentus!A:U,20,FALSE)&lt;2,"Alerta",IF(VLOOKUP(BK15,Fundamentus!A:U,20,FALSE)&gt;2,"Alta","n/a"))))</f>
        <v>Baixa</v>
      </c>
    </row>
    <row r="16" spans="1:160" s="2" customFormat="1" ht="11.25" hidden="1"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8">
        <v>4.42</v>
      </c>
      <c r="BC16" s="62">
        <v>4.7</v>
      </c>
      <c r="BD16" s="62">
        <v>4.8899999999999997</v>
      </c>
      <c r="BE16" s="62">
        <v>4.88</v>
      </c>
      <c r="BF16" s="62">
        <v>4.91</v>
      </c>
      <c r="BG16" s="81">
        <v>4.95</v>
      </c>
      <c r="BH16" s="62">
        <v>4.75</v>
      </c>
      <c r="BI16" s="62">
        <v>5.05</v>
      </c>
      <c r="BJ16" s="62" cm="1">
        <f t="array" aca="1" ref="BJ16" ca="1">_FV(EH16,"Preço")</f>
        <v>5.01</v>
      </c>
      <c r="BK16" s="83" t="s">
        <v>13</v>
      </c>
      <c r="BL16" s="44" cm="1">
        <f t="array" aca="1" ref="BL16" ca="1">_FV(EH16,"Média de volume",TRUE)</f>
        <v>10810</v>
      </c>
      <c r="BM16" s="44">
        <v>8200</v>
      </c>
      <c r="BN16" s="44" cm="1">
        <f t="array" aca="1" ref="BN16" ca="1">_FV(EH16,"Volume")</f>
        <v>1400</v>
      </c>
      <c r="BO16" s="32" cm="1">
        <f t="array" aca="1" ref="BO16" ca="1">_FV(EH16,"Beta")</f>
        <v>0.56620000000000004</v>
      </c>
      <c r="BP16" s="86" cm="1">
        <f t="array" aca="1" ref="BP16" ca="1">_FV(EH16,"Variação (%)",TRUE)</f>
        <v>-7.921000000000001E-3</v>
      </c>
      <c r="BQ16" s="48"/>
      <c r="BR16" s="48"/>
      <c r="BT16" s="20" cm="1">
        <f t="array" aca="1" ref="BT16" ca="1">_FV(EH16,"Baixo")</f>
        <v>4.95</v>
      </c>
      <c r="BU16" s="20" cm="1">
        <f t="array" aca="1" ref="BU16" ca="1">_FV(EH16,"Alto")</f>
        <v>5.05</v>
      </c>
      <c r="BV16" s="32"/>
      <c r="BW16" s="73">
        <f ca="1">SQRT(22.5*(BJ16/VLOOKUP(BK16,Fundamentus!A:U,3,FALSE))*(BJ16/VLOOKUP(BK16,Fundamentus!A:U,4,FALSE)))</f>
        <v>4.9985497737574356</v>
      </c>
      <c r="BY16" s="72">
        <f t="shared" ca="1" si="0"/>
        <v>-7.9207920792079278E-3</v>
      </c>
      <c r="BZ16" s="8"/>
      <c r="CA16" s="71">
        <f t="shared" si="36"/>
        <v>4.0999999999999996</v>
      </c>
      <c r="CB16" s="71">
        <f t="shared" si="1"/>
        <v>5.08</v>
      </c>
      <c r="CC16" s="71">
        <f t="shared" si="37"/>
        <v>4.4735245901639331</v>
      </c>
      <c r="CD16" s="17"/>
      <c r="CE16" s="43">
        <f t="shared" si="19"/>
        <v>4.7538981721502562</v>
      </c>
      <c r="CF16" s="18">
        <f>FORECAST("04/07/2025", BF16:BI16, $BF$5:$BI$5)</f>
        <v>4.9699999999999989</v>
      </c>
      <c r="CG16" s="43">
        <f t="shared" si="20"/>
        <v>5.1861018278497415</v>
      </c>
      <c r="CI16" s="17"/>
      <c r="CJ16" s="20">
        <f>CA16-2*(CB16-CM16)</f>
        <v>3.4266666666666659</v>
      </c>
      <c r="CK16" s="20">
        <f>CM16-(CB16-CA16)</f>
        <v>3.7633333333333328</v>
      </c>
      <c r="CL16" s="20">
        <f>2*CM16-CB16</f>
        <v>4.4066666666666663</v>
      </c>
      <c r="CM16" s="48">
        <f>(CB16+CA16+BI16)/3</f>
        <v>4.7433333333333332</v>
      </c>
      <c r="CN16" s="20">
        <f>2*CM16-CA16</f>
        <v>5.3866666666666667</v>
      </c>
      <c r="CO16" s="20">
        <f>CM16+(CB16-CA16)</f>
        <v>5.7233333333333336</v>
      </c>
      <c r="CP16" s="20">
        <f>CB16+2*(CM16-CA16)</f>
        <v>6.3666666666666671</v>
      </c>
      <c r="CQ16" s="2" cm="1">
        <f t="array" aca="1" ref="CQ16" ca="1">MAX(_xlfn._xlws.FILTER(CJ16:CP16,CJ16:CP16&lt;BJ16))</f>
        <v>4.7433333333333332</v>
      </c>
      <c r="CR16" s="2" cm="1">
        <f t="array" aca="1" ref="CR16" ca="1">MIN(_xlfn._xlws.FILTER($CJ16:$CP16,$CJ16:$CP16&gt;BJ16))</f>
        <v>5.3866666666666667</v>
      </c>
      <c r="CS16" s="19">
        <f t="shared" ca="1" si="38"/>
        <v>0.13562895291637389</v>
      </c>
      <c r="CT16" s="23">
        <f t="shared" ca="1" si="39"/>
        <v>-6.7814476458186945E-2</v>
      </c>
      <c r="CU16" s="23">
        <f t="shared" ca="1" si="40"/>
        <v>-4.5209650972124628E-2</v>
      </c>
      <c r="CV16" s="23">
        <f t="shared" ca="1" si="41"/>
        <v>-2.7125790583274779E-2</v>
      </c>
      <c r="CW16" s="23">
        <f t="shared" ca="1" si="42"/>
        <v>-1.5069883657374876E-2</v>
      </c>
      <c r="CX16" s="23">
        <f t="shared" ca="1" si="43"/>
        <v>-7.9781737009631693E-3</v>
      </c>
      <c r="CY16" s="23">
        <f t="shared" ca="1" si="44"/>
        <v>-4.1099682701931485E-3</v>
      </c>
      <c r="CZ16" s="23">
        <f t="shared" ca="1" si="45"/>
        <v>-2.0865992756365216E-3</v>
      </c>
      <c r="DA16" s="24">
        <f t="shared" ca="1" si="46"/>
        <v>2.0865992756365216E-3</v>
      </c>
      <c r="DB16" s="24">
        <f t="shared" ca="1" si="47"/>
        <v>4.1099682701931485E-3</v>
      </c>
      <c r="DC16" s="24">
        <f t="shared" ca="1" si="48"/>
        <v>7.9781737009631693E-3</v>
      </c>
      <c r="DD16" s="24">
        <f t="shared" ca="1" si="49"/>
        <v>1.5069883657374876E-2</v>
      </c>
      <c r="DE16" s="24">
        <f t="shared" ca="1" si="50"/>
        <v>2.7125790583274779E-2</v>
      </c>
      <c r="DF16" s="24">
        <f t="shared" ca="1" si="51"/>
        <v>4.5209650972124628E-2</v>
      </c>
      <c r="DG16" s="24">
        <f t="shared" ca="1" si="52"/>
        <v>6.7814476458186945E-2</v>
      </c>
      <c r="DI16" s="19" cm="1">
        <f t="array" aca="1" ref="DI16" ca="1">MAX(_xlfn._xlws.FILTER(CT16:DG16,CT16:DG16&lt;BP16))</f>
        <v>-7.9781737009631693E-3</v>
      </c>
      <c r="DJ16" s="19" cm="1">
        <f t="array" aca="1" ref="DJ16" ca="1">MIN(_xlfn._xlws.FILTER(CT16:DG16,CT16:DG16&gt;BP16))</f>
        <v>-4.1099682701931485E-3</v>
      </c>
      <c r="DK16" s="2" cm="1">
        <f t="array" aca="1" ref="DK16" ca="1">_FV(EH16,"Fechamento anterior",TRUE)</f>
        <v>5.05</v>
      </c>
      <c r="DL16" s="36">
        <f ca="1">(BJ16-DM16)/(DN16-DM16)</f>
        <v>1.4834171240958639E-2</v>
      </c>
      <c r="DM16" s="18">
        <f t="shared" ca="1" si="53"/>
        <v>5.0097102228101358</v>
      </c>
      <c r="DN16" s="18">
        <f t="shared" ca="1" si="54"/>
        <v>5.0292446602355243</v>
      </c>
      <c r="DO16" s="9"/>
      <c r="DP16" s="9"/>
      <c r="DQ16" s="94">
        <v>3.4632034632034688E-3</v>
      </c>
      <c r="DR16" s="94">
        <v>5.8851823557706014E-3</v>
      </c>
      <c r="DS16" s="94">
        <v>1.1512149091766923E-2</v>
      </c>
      <c r="DT16" s="94">
        <f t="shared" ca="1" si="12"/>
        <v>3.8682054307700208E-3</v>
      </c>
      <c r="DU16" s="87">
        <f ca="1">(BJ16-CF16)/(CF16-CE16)</f>
        <v>0.18509792535310368</v>
      </c>
      <c r="DV16" s="46"/>
      <c r="DW16" s="43">
        <f>_xlfn.STDEV.P(BF16:BI16)</f>
        <v>0.10805091392487151</v>
      </c>
      <c r="DX16" s="76">
        <f ca="1">BO16-$DT$2</f>
        <v>-0.43090000000000006</v>
      </c>
      <c r="DY16" s="76">
        <f ca="1">BO16-BP16*100</f>
        <v>1.3583000000000003</v>
      </c>
      <c r="DZ16" s="101"/>
      <c r="EA16" s="100">
        <v>1.5434999999999999</v>
      </c>
      <c r="EB16" s="107">
        <v>-1.4220000000000002</v>
      </c>
      <c r="EC16" s="107">
        <v>1.3833</v>
      </c>
      <c r="ED16" s="98">
        <f t="shared" ca="1" si="13"/>
        <v>-1.7892000000000003</v>
      </c>
      <c r="EE16" s="66"/>
      <c r="EF16" s="66"/>
      <c r="EH16" s="2" t="e" vm="16">
        <v>#VALUE!</v>
      </c>
      <c r="EJ16" s="10" cm="1">
        <f t="array" aca="1" ref="EJ16" ca="1">_FV(EH16,"Ações em circulação",TRUE)</f>
        <v>1502786000</v>
      </c>
      <c r="EK16" s="21">
        <f>VLOOKUP(BK16,Fundamentus!A:U,5,FALSE)</f>
        <v>0.56499999999999995</v>
      </c>
      <c r="EL16" s="2">
        <f ca="1">(BJ16*EJ16)/EK16</f>
        <v>13325589132.743364</v>
      </c>
      <c r="EM16" s="20">
        <v>914717910.31858408</v>
      </c>
      <c r="EN16" s="20">
        <f t="shared" ca="1" si="14"/>
        <v>907472619.93982303</v>
      </c>
      <c r="EP16" s="19">
        <f t="shared" ca="1" si="15"/>
        <v>-7.9207920792079278E-3</v>
      </c>
      <c r="EQ16" s="40" t="str">
        <f>IF(VLOOKUP(BK16,Fundamentus!A:U,3,FALSE)&lt;15,"Bom",IF(VLOOKUP(BK16,Fundamentus!A:U,3,FALSE)&gt;15,"Ruim","n/a"))</f>
        <v>Bom</v>
      </c>
      <c r="ER16" s="36" t="str">
        <f>IF(VLOOKUP(BK16,Fundamentus!A:U,4,FALSE)&lt;1,"Baixo",IF(VLOOKUP(BK16,Fundamentus!A:U,4,FALSE)&lt;1.5,"Moderado",IF(VLOOKUP(BK16,Fundamentus!A:U,4,FALSE)&gt;1.5,"Alto","n/a")))</f>
        <v>Alto</v>
      </c>
      <c r="ES16" s="20" t="str">
        <f>IF(VLOOKUP(BK16,Fundamentus!A:U,8,FALSE)&lt;0,"Risco elevado",IF(VLOOKUP(BK16,Fundamentus!A:U,8,FALSE)&lt;1,"Saudável",IF(VLOOKUP(BK16,Fundamentus!A:U,8,FALSE)&lt;3,"Estável",IF(VLOOKUP(BK16,Fundamentus!A:U,8,FALSE)&gt;3,"Alerta","n/a"))))</f>
        <v>Alerta</v>
      </c>
      <c r="ET16" s="36" t="str">
        <f t="shared" si="16"/>
        <v>Ruim</v>
      </c>
      <c r="EU16" s="20" t="str">
        <f>IF(VLOOKUP(BK16,Fundamentus!A:U,12,FALSE)&lt;2,"Subvalorizada",IF(VLOOKUP(BK16,Fundamentus!A:U,12,FALSE)&lt;6,"Muita barata",IF(VLOOKUP(BK16,Fundamentus!A:U,12,FALSE)&lt;6,"Barata",IF(VLOOKUP(BK16,Fundamentus!A:U,12,FALSE)&lt;8,"Atrativa",IF(VLOOKUP(BK16,Fundamentus!A:U,12,FALSE)&gt;8,"Supervalorizada","n/a")))))</f>
        <v>Muita barata</v>
      </c>
      <c r="EW16" s="20" t="str">
        <f>IF(VLOOKUP(BK16,Fundamentus!A:U,17,FALSE)&lt;0.1,"Fraco retorno",IF(VLOOKUP(BK16,Fundamentus!A:U,17,FALSE)&gt;0.1,"Bom retorno","n/a"))</f>
        <v>Bom retorno</v>
      </c>
      <c r="EX16" s="20" t="str">
        <f>IF(VLOOKUP(BK16,Fundamentus!A:U,16,FALSE)&lt;0.1,"Ineficiente",IF(VLOOKUP(BK16,Fundamentus!A:U,16,FALSE)&gt;0.1,"Eficiente","n/a"))</f>
        <v>Eficiente</v>
      </c>
      <c r="EY16" s="41" t="str">
        <f>IF(VLOOKUP(BK16,Fundamentus!A:U,16,FALSE)&lt;0.1,"Oper. Ineficiente",IF(VLOOKUP(BK16,Fundamentus!A:U,16,FALSE)&gt;0.1,"Oper.Eficiente","n/a"))</f>
        <v>Oper.Eficiente</v>
      </c>
      <c r="EZ16" s="42">
        <f>VLOOKUP(BK16,Fundamentus!A:U,14,FALSE)</f>
        <v>6.8099999999999994E-2</v>
      </c>
      <c r="FA16" s="20" t="str">
        <f>IF(VLOOKUP(BK16,Fundamentus!A:U,21,FALSE)&lt;0,"Negativo",IF(VLOOKUP(BK16,Fundamentus!A:U,21,FALSE)&lt;0.05,"Fraco",IF(VLOOKUP(BK16,Fundamentus!A:U,21,FALSE)&lt;0.1,"Bom",IF(VLOOKUP(BK16,Fundamentus!A:U,21,FALSE)&gt;0.1,"Muito bom","n/a"))))</f>
        <v>Bom</v>
      </c>
      <c r="FC16" s="37" t="str">
        <f>IF(VLOOKUP(BK16,Fundamentus!A:U,15,FALSE)&gt;1,"Bom",IF(VLOOKUP(BK16,Fundamentus!A:U,15,FALSE)&lt;1,"Ruim","n/a"))</f>
        <v>Bom</v>
      </c>
      <c r="FD16" s="20" t="str">
        <f>IF(VLOOKUP(BK16,Fundamentus!A:U,20,FALSE)&lt;0.5,"Baixa",IF(VLOOKUP(BK16,Fundamentus!A:U,20,FALSE)&lt;1,"Moderada",IF(VLOOKUP(BK16,Fundamentus!A:U,20,FALSE)&lt;2,"Alerta",IF(VLOOKUP(BK16,Fundamentus!A:U,20,FALSE)&gt;2,"Alta","n/a"))))</f>
        <v>Baixa</v>
      </c>
    </row>
    <row r="17" spans="1:161" s="2" customFormat="1" ht="11.25" hidden="1"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8">
        <v>9.24</v>
      </c>
      <c r="BC17" s="62">
        <v>8.73</v>
      </c>
      <c r="BD17" s="62">
        <v>8.8000000000000007</v>
      </c>
      <c r="BE17" s="62">
        <v>8.92</v>
      </c>
      <c r="BF17" s="62">
        <v>8.89</v>
      </c>
      <c r="BG17" s="81">
        <v>8.64</v>
      </c>
      <c r="BH17" s="62">
        <v>8.74</v>
      </c>
      <c r="BI17" s="62">
        <v>8.8000000000000007</v>
      </c>
      <c r="BJ17" s="62" cm="1">
        <f t="array" aca="1" ref="BJ17" ca="1">_FV(EH17,"Preço")</f>
        <v>8.9499999999999993</v>
      </c>
      <c r="BK17" s="83" t="s">
        <v>14</v>
      </c>
      <c r="BL17" s="44" cm="1">
        <f t="array" aca="1" ref="BL17" ca="1">_FV(EH17,"Média de volume",TRUE)</f>
        <v>950</v>
      </c>
      <c r="BM17" s="44">
        <v>600</v>
      </c>
      <c r="BN17" s="44" cm="1">
        <f t="array" aca="1" ref="BN17" ca="1">_FV(EH17,"Volume")</f>
        <v>300</v>
      </c>
      <c r="BO17" s="32" cm="1">
        <f t="array" aca="1" ref="BO17" ca="1">_FV(EH17,"Beta")</f>
        <v>1.1627000000000001</v>
      </c>
      <c r="BP17" s="86" cm="1">
        <f t="array" aca="1" ref="BP17" ca="1">_FV(EH17,"Variação (%)",TRUE)</f>
        <v>1.7044999999999998E-2</v>
      </c>
      <c r="BQ17" s="48"/>
      <c r="BR17" s="48"/>
      <c r="BT17" s="20" cm="1">
        <f t="array" aca="1" ref="BT17" ca="1">_FV(EH17,"Baixo")</f>
        <v>8.6199999999999992</v>
      </c>
      <c r="BU17" s="20" cm="1">
        <f t="array" aca="1" ref="BU17" ca="1">_FV(EH17,"Alto")</f>
        <v>8.9499999999999993</v>
      </c>
      <c r="BV17" s="32"/>
      <c r="BW17" s="73">
        <f ca="1">SQRT(22.5*(BJ17/VLOOKUP(BK17,Fundamentus!A:U,3,FALSE))*(BJ17/VLOOKUP(BK17,Fundamentus!A:U,4,FALSE)))</f>
        <v>4.7414783274699541</v>
      </c>
      <c r="BY17" s="72">
        <f t="shared" ca="1" si="0"/>
        <v>1.7045454545454381E-2</v>
      </c>
      <c r="BZ17" s="8"/>
      <c r="CA17" s="71">
        <f t="shared" si="36"/>
        <v>6.8</v>
      </c>
      <c r="CB17" s="71">
        <f t="shared" si="1"/>
        <v>10.1</v>
      </c>
      <c r="CC17" s="71">
        <f t="shared" si="37"/>
        <v>8.826639344262297</v>
      </c>
      <c r="CD17" s="17"/>
      <c r="CE17" s="43">
        <f t="shared" si="19"/>
        <v>8.543134665205276</v>
      </c>
      <c r="CF17" s="18">
        <f>FORECAST("04/07/2025", BF17:BI17, $BF$5:$BI$5)</f>
        <v>8.7250000000000085</v>
      </c>
      <c r="CG17" s="43">
        <f t="shared" si="20"/>
        <v>8.9068653347947411</v>
      </c>
      <c r="CI17" s="17"/>
      <c r="CJ17" s="20">
        <f>CA17-2*(CB17-CM17)</f>
        <v>3.7333333333333334</v>
      </c>
      <c r="CK17" s="20">
        <f>CM17-(CB17-CA17)</f>
        <v>5.2666666666666666</v>
      </c>
      <c r="CL17" s="20">
        <f>2*CM17-CB17</f>
        <v>7.0333333333333332</v>
      </c>
      <c r="CM17" s="48">
        <f>(CB17+CA17+BI17)/3</f>
        <v>8.5666666666666664</v>
      </c>
      <c r="CN17" s="20">
        <f>2*CM17-CA17</f>
        <v>10.333333333333332</v>
      </c>
      <c r="CO17" s="20">
        <f>CM17+(CB17-CA17)</f>
        <v>11.866666666666667</v>
      </c>
      <c r="CP17" s="20">
        <f>CB17+2*(CM17-CA17)</f>
        <v>13.633333333333333</v>
      </c>
      <c r="CQ17" s="2" cm="1">
        <f t="array" aca="1" ref="CQ17" ca="1">MAX(_xlfn._xlws.FILTER(CJ17:CP17,CJ17:CP17&lt;BJ17))</f>
        <v>8.5666666666666664</v>
      </c>
      <c r="CR17" s="2" cm="1">
        <f t="array" aca="1" ref="CR17" ca="1">MIN(_xlfn._xlws.FILTER($CJ17:$CP17,$CJ17:$CP17&gt;BJ17))</f>
        <v>10.333333333333332</v>
      </c>
      <c r="CS17" s="19">
        <f t="shared" ca="1" si="38"/>
        <v>0.20622568093385207</v>
      </c>
      <c r="CT17" s="23">
        <f t="shared" ca="1" si="39"/>
        <v>-0.10311284046692604</v>
      </c>
      <c r="CU17" s="23">
        <f t="shared" ca="1" si="40"/>
        <v>-6.8741893644617358E-2</v>
      </c>
      <c r="CV17" s="23">
        <f t="shared" ca="1" si="41"/>
        <v>-4.1245136186770413E-2</v>
      </c>
      <c r="CW17" s="23">
        <f t="shared" ca="1" si="42"/>
        <v>-2.2913964548205785E-2</v>
      </c>
      <c r="CX17" s="23">
        <f t="shared" ca="1" si="43"/>
        <v>-1.2130922407873652E-2</v>
      </c>
      <c r="CY17" s="23">
        <f t="shared" ca="1" si="44"/>
        <v>-6.2492630586015781E-3</v>
      </c>
      <c r="CZ17" s="23">
        <f t="shared" ca="1" si="45"/>
        <v>-3.1727027835977244E-3</v>
      </c>
      <c r="DA17" s="24">
        <f t="shared" ca="1" si="46"/>
        <v>3.1727027835977244E-3</v>
      </c>
      <c r="DB17" s="24">
        <f t="shared" ca="1" si="47"/>
        <v>6.2492630586015781E-3</v>
      </c>
      <c r="DC17" s="24">
        <f t="shared" ca="1" si="48"/>
        <v>1.2130922407873652E-2</v>
      </c>
      <c r="DD17" s="24">
        <f t="shared" ca="1" si="49"/>
        <v>2.2913964548205785E-2</v>
      </c>
      <c r="DE17" s="24">
        <f t="shared" ca="1" si="50"/>
        <v>4.1245136186770413E-2</v>
      </c>
      <c r="DF17" s="24">
        <f t="shared" ca="1" si="51"/>
        <v>6.8741893644617358E-2</v>
      </c>
      <c r="DG17" s="24">
        <f t="shared" ca="1" si="52"/>
        <v>0.10311284046692604</v>
      </c>
      <c r="DI17" s="19" cm="1">
        <f t="array" aca="1" ref="DI17" ca="1">MAX(_xlfn._xlws.FILTER(CT17:DG17,CT17:DG17&lt;BP17))</f>
        <v>1.2130922407873652E-2</v>
      </c>
      <c r="DJ17" s="19" cm="1">
        <f t="array" aca="1" ref="DJ17" ca="1">MIN(_xlfn._xlws.FILTER(CT17:DG17,CT17:DG17&gt;BP17))</f>
        <v>2.2913964548205785E-2</v>
      </c>
      <c r="DK17" s="2" cm="1">
        <f t="array" aca="1" ref="DK17" ca="1">_FV(EH17,"Fechamento anterior",TRUE)</f>
        <v>8.8000000000000007</v>
      </c>
      <c r="DL17" s="36">
        <f ca="1">(BJ17-DM17)/(DN17-DM17)</f>
        <v>0.45576490137220332</v>
      </c>
      <c r="DM17" s="18">
        <f t="shared" ca="1" si="53"/>
        <v>8.9067521171892885</v>
      </c>
      <c r="DN17" s="18">
        <f t="shared" ca="1" si="54"/>
        <v>9.001642888024211</v>
      </c>
      <c r="DO17" s="9"/>
      <c r="DP17" s="9"/>
      <c r="DQ17" s="94">
        <v>2.0028612303290436E-2</v>
      </c>
      <c r="DR17" s="94">
        <v>7.8543577659962466E-3</v>
      </c>
      <c r="DS17" s="94">
        <v>3.0023748113019847E-3</v>
      </c>
      <c r="DT17" s="94">
        <f t="shared" ca="1" si="12"/>
        <v>1.0783042140332133E-2</v>
      </c>
      <c r="DU17" s="87">
        <f ca="1">(BJ17-CF17)/(CF17-CE17)</f>
        <v>1.23717914826343</v>
      </c>
      <c r="DV17" s="46"/>
      <c r="DW17" s="43">
        <f>_xlfn.STDEV.P(BF17:BI17)</f>
        <v>9.0932667397366093E-2</v>
      </c>
      <c r="DX17" s="76">
        <f ca="1">BO17-$DT$2</f>
        <v>0.16559999999999997</v>
      </c>
      <c r="DY17" s="76">
        <f ca="1">BO17-BP17*100</f>
        <v>-0.54179999999999962</v>
      </c>
      <c r="DZ17" s="101"/>
      <c r="EA17" s="100">
        <v>1.9191</v>
      </c>
      <c r="EB17" s="107">
        <v>0.7863</v>
      </c>
      <c r="EC17" s="107">
        <v>1.6803000000000001</v>
      </c>
      <c r="ED17" s="98">
        <f t="shared" ca="1" si="13"/>
        <v>0.70739999999999958</v>
      </c>
      <c r="EE17" s="66"/>
      <c r="EF17" s="66"/>
      <c r="EH17" s="2" t="e" vm="17">
        <v>#VALUE!</v>
      </c>
      <c r="EJ17" s="10" cm="1">
        <f t="array" aca="1" ref="EJ17" ca="1">_FV(EH17,"Ações em circulação",TRUE)</f>
        <v>101983400</v>
      </c>
      <c r="EK17" s="21">
        <f>VLOOKUP(BK17,Fundamentus!A:U,5,FALSE)</f>
        <v>1.7969999999999999</v>
      </c>
      <c r="EL17" s="2">
        <f ca="1">(BJ17*EJ17)/EK17</f>
        <v>507930678.90929323</v>
      </c>
      <c r="EM17" s="20">
        <v>6142839.8530884823</v>
      </c>
      <c r="EN17" s="20">
        <f t="shared" ca="1" si="14"/>
        <v>6247547.3505843068</v>
      </c>
      <c r="EP17" s="19">
        <f t="shared" ca="1" si="15"/>
        <v>1.7045454545454142E-2</v>
      </c>
      <c r="EQ17" s="40" t="str">
        <f>IF(VLOOKUP(BK17,Fundamentus!A:U,3,FALSE)&lt;15,"Bom",IF(VLOOKUP(BK17,Fundamentus!A:U,3,FALSE)&gt;15,"Ruim","n/a"))</f>
        <v>Ruim</v>
      </c>
      <c r="ER17" s="36" t="str">
        <f>IF(VLOOKUP(BK17,Fundamentus!A:U,4,FALSE)&lt;1,"Baixo",IF(VLOOKUP(BK17,Fundamentus!A:U,4,FALSE)&lt;1.5,"Moderado",IF(VLOOKUP(BK17,Fundamentus!A:U,4,FALSE)&gt;1.5,"Alto","n/a")))</f>
        <v>Baixo</v>
      </c>
      <c r="ES17" s="20" t="str">
        <f>IF(VLOOKUP(BK17,Fundamentus!A:U,8,FALSE)&lt;0,"Risco elevado",IF(VLOOKUP(BK17,Fundamentus!A:U,8,FALSE)&lt;1,"Saudável",IF(VLOOKUP(BK17,Fundamentus!A:U,8,FALSE)&lt;3,"Estável",IF(VLOOKUP(BK17,Fundamentus!A:U,8,FALSE)&gt;3,"Alerta","n/a"))))</f>
        <v>Saudável</v>
      </c>
      <c r="ET17" s="36" t="str">
        <f t="shared" si="16"/>
        <v>Bom</v>
      </c>
      <c r="EU17" s="20" t="str">
        <f>IF(VLOOKUP(BK17,Fundamentus!A:U,12,FALSE)&lt;2,"Subvalorizada",IF(VLOOKUP(BK17,Fundamentus!A:U,12,FALSE)&lt;6,"Muita barata",IF(VLOOKUP(BK17,Fundamentus!A:U,12,FALSE)&lt;6,"Barata",IF(VLOOKUP(BK17,Fundamentus!A:U,12,FALSE)&lt;8,"Atrativa",IF(VLOOKUP(BK17,Fundamentus!A:U,12,FALSE)&gt;8,"Supervalorizada","n/a")))))</f>
        <v>Supervalorizada</v>
      </c>
      <c r="EW17" s="20" t="str">
        <f>IF(VLOOKUP(BK17,Fundamentus!A:U,17,FALSE)&lt;0.1,"Fraco retorno",IF(VLOOKUP(BK17,Fundamentus!A:U,17,FALSE)&gt;0.1,"Bom retorno","n/a"))</f>
        <v>Fraco retorno</v>
      </c>
      <c r="EX17" s="20" t="str">
        <f>IF(VLOOKUP(BK17,Fundamentus!A:U,16,FALSE)&lt;0.1,"Ineficiente",IF(VLOOKUP(BK17,Fundamentus!A:U,16,FALSE)&gt;0.1,"Eficiente","n/a"))</f>
        <v>Ineficiente</v>
      </c>
      <c r="EY17" s="41" t="str">
        <f>IF(VLOOKUP(BK17,Fundamentus!A:U,16,FALSE)&lt;0.1,"Oper. Ineficiente",IF(VLOOKUP(BK17,Fundamentus!A:U,16,FALSE)&gt;0.1,"Oper.Eficiente","n/a"))</f>
        <v>Oper. Ineficiente</v>
      </c>
      <c r="EZ17" s="42">
        <f>VLOOKUP(BK17,Fundamentus!A:U,14,FALSE)</f>
        <v>1.23E-2</v>
      </c>
      <c r="FA17" s="20" t="str">
        <f>IF(VLOOKUP(BK17,Fundamentus!A:U,21,FALSE)&lt;0,"Negativo",IF(VLOOKUP(BK17,Fundamentus!A:U,21,FALSE)&lt;0.05,"Fraco",IF(VLOOKUP(BK17,Fundamentus!A:U,21,FALSE)&lt;0.1,"Bom",IF(VLOOKUP(BK17,Fundamentus!A:U,21,FALSE)&gt;0.1,"Muito bom","n/a"))))</f>
        <v>Muito bom</v>
      </c>
      <c r="FC17" s="37" t="str">
        <f>IF(VLOOKUP(BK17,Fundamentus!A:U,15,FALSE)&gt;1,"Bom",IF(VLOOKUP(BK17,Fundamentus!A:U,15,FALSE)&lt;1,"Ruim","n/a"))</f>
        <v>Bom</v>
      </c>
      <c r="FD17" s="20" t="str">
        <f>IF(VLOOKUP(BK17,Fundamentus!A:U,20,FALSE)&lt;0.5,"Baixa",IF(VLOOKUP(BK17,Fundamentus!A:U,20,FALSE)&lt;1,"Moderada",IF(VLOOKUP(BK17,Fundamentus!A:U,20,FALSE)&lt;2,"Alerta",IF(VLOOKUP(BK17,Fundamentus!A:U,20,FALSE)&gt;2,"Alta","n/a"))))</f>
        <v>Baixa</v>
      </c>
    </row>
    <row r="18" spans="1:161" s="2" customFormat="1" ht="11.25" hidden="1"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8">
        <v>30.71</v>
      </c>
      <c r="BC18" s="62">
        <v>31.87</v>
      </c>
      <c r="BD18" s="62">
        <v>31.4</v>
      </c>
      <c r="BE18" s="62">
        <v>30.9</v>
      </c>
      <c r="BF18" s="62">
        <v>29.63</v>
      </c>
      <c r="BG18" s="81">
        <v>32.53</v>
      </c>
      <c r="BH18" s="62">
        <v>32.82</v>
      </c>
      <c r="BI18" s="62">
        <v>31.21</v>
      </c>
      <c r="BJ18" s="62" cm="1">
        <f t="array" aca="1" ref="BJ18" ca="1">_FV(EH18,"Preço")</f>
        <v>31.28</v>
      </c>
      <c r="BK18" s="83" t="s">
        <v>15</v>
      </c>
      <c r="BL18" s="44" cm="1">
        <f t="array" aca="1" ref="BL18" ca="1">_FV(EH18,"Média de volume",TRUE)</f>
        <v>47111300</v>
      </c>
      <c r="BM18" s="44">
        <v>16394700</v>
      </c>
      <c r="BN18" s="44" cm="1">
        <f t="array" aca="1" ref="BN18" ca="1">_FV(EH18,"Volume")</f>
        <v>12853100</v>
      </c>
      <c r="BO18" s="32" cm="1">
        <f t="array" aca="1" ref="BO18" ca="1">_FV(EH18,"Beta")</f>
        <v>0.999</v>
      </c>
      <c r="BP18" s="86" cm="1">
        <f t="array" aca="1" ref="BP18" ca="1">_FV(EH18,"Variação (%)",TRUE)</f>
        <v>2.2430000000000002E-3</v>
      </c>
      <c r="BQ18" s="48"/>
      <c r="BR18" s="48"/>
      <c r="BT18" s="20" cm="1">
        <f t="array" aca="1" ref="BT18" ca="1">_FV(EH18,"Baixo")</f>
        <v>31.1</v>
      </c>
      <c r="BU18" s="20" cm="1">
        <f t="array" aca="1" ref="BU18" ca="1">_FV(EH18,"Alto")</f>
        <v>31.49</v>
      </c>
      <c r="BV18" s="32"/>
      <c r="BW18" s="73">
        <f ca="1">SQRT(22.5*(BJ18/VLOOKUP(BK18,Fundamentus!A:U,3,FALSE))*(BJ18/VLOOKUP(BK18,Fundamentus!A:U,4,FALSE)))</f>
        <v>48.831042175872142</v>
      </c>
      <c r="BY18" s="72">
        <f t="shared" ca="1" si="0"/>
        <v>2.2428708747196501E-3</v>
      </c>
      <c r="BZ18" s="8"/>
      <c r="CA18" s="71">
        <f t="shared" si="36"/>
        <v>29.63</v>
      </c>
      <c r="CB18" s="71">
        <f t="shared" si="1"/>
        <v>41.67</v>
      </c>
      <c r="CC18" s="71">
        <f t="shared" si="37"/>
        <v>36.004508196721318</v>
      </c>
      <c r="CD18" s="17"/>
      <c r="CE18" s="43">
        <f t="shared" si="19"/>
        <v>30.280069307882187</v>
      </c>
      <c r="CF18" s="18">
        <f>FORECAST("04/07/2025", BF18:BI18, $BF$5:$BI$5)</f>
        <v>32.805000000000291</v>
      </c>
      <c r="CG18" s="43">
        <f t="shared" si="20"/>
        <v>35.329930692118396</v>
      </c>
      <c r="CI18" s="17"/>
      <c r="CJ18" s="20">
        <f>CA18-2*(CB18-CM18)</f>
        <v>14.629999999999985</v>
      </c>
      <c r="CK18" s="20">
        <f>CM18-(CB18-CA18)</f>
        <v>22.129999999999992</v>
      </c>
      <c r="CL18" s="20">
        <f>2*CM18-CB18</f>
        <v>26.669999999999987</v>
      </c>
      <c r="CM18" s="48">
        <f>(CB18+CA18+BI18)/3</f>
        <v>34.169999999999995</v>
      </c>
      <c r="CN18" s="20">
        <f>2*CM18-CA18</f>
        <v>38.709999999999994</v>
      </c>
      <c r="CO18" s="20">
        <f>CM18+(CB18-CA18)</f>
        <v>46.209999999999994</v>
      </c>
      <c r="CP18" s="20">
        <f>CB18+2*(CM18-CA18)</f>
        <v>50.749999999999993</v>
      </c>
      <c r="CQ18" s="2" cm="1">
        <f t="array" aca="1" ref="CQ18" ca="1">MAX(_xlfn._xlws.FILTER(CJ18:CP18,CJ18:CP18&lt;BJ18))</f>
        <v>26.669999999999987</v>
      </c>
      <c r="CR18" s="2" cm="1">
        <f t="array" aca="1" ref="CR18" ca="1">MIN(_xlfn._xlws.FILTER($CJ18:$CP18,$CJ18:$CP18&gt;BJ18))</f>
        <v>34.169999999999995</v>
      </c>
      <c r="CS18" s="19">
        <f t="shared" ca="1" si="38"/>
        <v>0.28121484814398245</v>
      </c>
      <c r="CT18" s="23">
        <f t="shared" ca="1" si="39"/>
        <v>-0.14060742407199123</v>
      </c>
      <c r="CU18" s="23">
        <f t="shared" ca="1" si="40"/>
        <v>-9.3738282714660823E-2</v>
      </c>
      <c r="CV18" s="23">
        <f t="shared" ca="1" si="41"/>
        <v>-5.6242969628796491E-2</v>
      </c>
      <c r="CW18" s="23">
        <f t="shared" ca="1" si="42"/>
        <v>-3.1246094238220272E-2</v>
      </c>
      <c r="CX18" s="23">
        <f t="shared" ca="1" si="43"/>
        <v>-1.6542049890822499E-2</v>
      </c>
      <c r="CY18" s="23">
        <f t="shared" ca="1" si="44"/>
        <v>-8.5216620649691648E-3</v>
      </c>
      <c r="CZ18" s="23">
        <f t="shared" ca="1" si="45"/>
        <v>-4.3263822791381919E-3</v>
      </c>
      <c r="DA18" s="24">
        <f t="shared" ca="1" si="46"/>
        <v>4.3263822791381919E-3</v>
      </c>
      <c r="DB18" s="24">
        <f t="shared" ca="1" si="47"/>
        <v>8.5216620649691648E-3</v>
      </c>
      <c r="DC18" s="24">
        <f t="shared" ca="1" si="48"/>
        <v>1.6542049890822499E-2</v>
      </c>
      <c r="DD18" s="24">
        <f t="shared" ca="1" si="49"/>
        <v>3.1246094238220272E-2</v>
      </c>
      <c r="DE18" s="24">
        <f t="shared" ca="1" si="50"/>
        <v>5.6242969628796491E-2</v>
      </c>
      <c r="DF18" s="24">
        <f t="shared" ca="1" si="51"/>
        <v>9.3738282714660823E-2</v>
      </c>
      <c r="DG18" s="24">
        <f t="shared" ca="1" si="52"/>
        <v>0.14060742407199123</v>
      </c>
      <c r="DI18" s="19" cm="1">
        <f t="array" aca="1" ref="DI18" ca="1">MAX(_xlfn._xlws.FILTER(CT18:DG18,CT18:DG18&lt;BP18))</f>
        <v>-4.3263822791381919E-3</v>
      </c>
      <c r="DJ18" s="19" cm="1">
        <f t="array" aca="1" ref="DJ18" ca="1">MIN(_xlfn._xlws.FILTER(CT18:DG18,CT18:DG18&gt;BP18))</f>
        <v>4.3263822791381919E-3</v>
      </c>
      <c r="DK18" s="2" cm="1">
        <f t="array" aca="1" ref="DK18" ca="1">_FV(EH18,"Fechamento anterior",TRUE)</f>
        <v>31.21</v>
      </c>
      <c r="DL18" s="36">
        <f ca="1">(BJ18-DM18)/(DN18-DM18)</f>
        <v>0.75920858699135174</v>
      </c>
      <c r="DM18" s="18">
        <f t="shared" ca="1" si="53"/>
        <v>31.074973609068099</v>
      </c>
      <c r="DN18" s="18">
        <f t="shared" ca="1" si="54"/>
        <v>31.345026390931903</v>
      </c>
      <c r="DO18" s="9"/>
      <c r="DP18" s="9"/>
      <c r="DQ18" s="94">
        <v>8.0443389199645575E-3</v>
      </c>
      <c r="DR18" s="94">
        <v>8.4721876931500868E-3</v>
      </c>
      <c r="DS18" s="94">
        <v>1.3399285909161011E-2</v>
      </c>
      <c r="DT18" s="94">
        <f t="shared" ca="1" si="12"/>
        <v>8.6527645582763837E-3</v>
      </c>
      <c r="DU18" s="87">
        <f ca="1">(BJ18-CF18)/(CF18-CE18)</f>
        <v>-0.60397697440201958</v>
      </c>
      <c r="DV18" s="46"/>
      <c r="DW18" s="43">
        <f>_xlfn.STDEV.P(BF18:BI18)</f>
        <v>1.2624653460590518</v>
      </c>
      <c r="DX18" s="76">
        <f ca="1">BO18-$DT$2</f>
        <v>1.8999999999999018E-3</v>
      </c>
      <c r="DY18" s="76">
        <f ca="1">BO18-BP18*100</f>
        <v>0.77469999999999994</v>
      </c>
      <c r="DZ18" s="101"/>
      <c r="EA18" s="100">
        <v>2.5651000000000002</v>
      </c>
      <c r="EB18" s="107">
        <v>0.87759999999999994</v>
      </c>
      <c r="EC18" s="107">
        <v>-0.6137999999999999</v>
      </c>
      <c r="ED18" s="98">
        <f t="shared" ca="1" si="13"/>
        <v>-0.77280000000000004</v>
      </c>
      <c r="EE18" s="66"/>
      <c r="EF18" s="66"/>
      <c r="EH18" s="2" t="e" vm="18">
        <v>#VALUE!</v>
      </c>
      <c r="EJ18" s="10" cm="1">
        <f t="array" aca="1" ref="EJ18" ca="1">_FV(EH18,"Ações em circulação",TRUE)</f>
        <v>12888730000</v>
      </c>
      <c r="EK18" s="21">
        <f>VLOOKUP(BK18,Fundamentus!A:U,5,FALSE)</f>
        <v>0.84499999999999997</v>
      </c>
      <c r="EL18" s="2">
        <f ca="1">(BJ18*EJ18)/EK18</f>
        <v>477111804023.66864</v>
      </c>
      <c r="EM18" s="20">
        <v>46557112841.112427</v>
      </c>
      <c r="EN18" s="20">
        <f t="shared" ca="1" si="14"/>
        <v>46661534433.514793</v>
      </c>
      <c r="EP18" s="19">
        <f t="shared" ca="1" si="15"/>
        <v>2.242870874719527E-3</v>
      </c>
      <c r="EQ18" s="40" t="str">
        <f>IF(VLOOKUP(BK18,Fundamentus!A:U,3,FALSE)&lt;15,"Bom",IF(VLOOKUP(BK18,Fundamentus!A:U,3,FALSE)&gt;15,"Ruim","n/a"))</f>
        <v>Bom</v>
      </c>
      <c r="ER18" s="36" t="str">
        <f>IF(VLOOKUP(BK18,Fundamentus!A:U,4,FALSE)&lt;1,"Baixo",IF(VLOOKUP(BK18,Fundamentus!A:U,4,FALSE)&lt;1.5,"Moderado",IF(VLOOKUP(BK18,Fundamentus!A:U,4,FALSE)&gt;1.5,"Alto","n/a")))</f>
        <v>Moderado</v>
      </c>
      <c r="ES18" s="20" t="str">
        <f>IF(VLOOKUP(BK18,Fundamentus!A:U,8,FALSE)&lt;0,"Risco elevado",IF(VLOOKUP(BK18,Fundamentus!A:U,8,FALSE)&lt;1,"Saudável",IF(VLOOKUP(BK18,Fundamentus!A:U,8,FALSE)&lt;3,"Estável",IF(VLOOKUP(BK18,Fundamentus!A:U,8,FALSE)&gt;3,"Alerta","n/a"))))</f>
        <v>Risco elevado</v>
      </c>
      <c r="ET18" s="36" t="str">
        <f t="shared" si="16"/>
        <v>Ruim</v>
      </c>
      <c r="EU18" s="20" t="str">
        <f>IF(VLOOKUP(BK18,Fundamentus!A:U,12,FALSE)&lt;2,"Subvalorizada",IF(VLOOKUP(BK18,Fundamentus!A:U,12,FALSE)&lt;6,"Muita barata",IF(VLOOKUP(BK18,Fundamentus!A:U,12,FALSE)&lt;6,"Barata",IF(VLOOKUP(BK18,Fundamentus!A:U,12,FALSE)&lt;8,"Atrativa",IF(VLOOKUP(BK18,Fundamentus!A:U,12,FALSE)&gt;8,"Supervalorizada","n/a")))))</f>
        <v>Muita barata</v>
      </c>
      <c r="EW18" s="20" t="str">
        <f>IF(VLOOKUP(BK18,Fundamentus!A:U,17,FALSE)&lt;0.1,"Fraco retorno",IF(VLOOKUP(BK18,Fundamentus!A:U,17,FALSE)&gt;0.1,"Bom retorno","n/a"))</f>
        <v>Bom retorno</v>
      </c>
      <c r="EX18" s="20" t="str">
        <f>IF(VLOOKUP(BK18,Fundamentus!A:U,16,FALSE)&lt;0.1,"Ineficiente",IF(VLOOKUP(BK18,Fundamentus!A:U,16,FALSE)&gt;0.1,"Eficiente","n/a"))</f>
        <v>Eficiente</v>
      </c>
      <c r="EY18" s="41" t="str">
        <f>IF(VLOOKUP(BK18,Fundamentus!A:U,16,FALSE)&lt;0.1,"Oper. Ineficiente",IF(VLOOKUP(BK18,Fundamentus!A:U,16,FALSE)&gt;0.1,"Oper.Eficiente","n/a"))</f>
        <v>Oper.Eficiente</v>
      </c>
      <c r="EZ18" s="42">
        <f>VLOOKUP(BK18,Fundamentus!A:U,14,FALSE)</f>
        <v>9.7799999999999998E-2</v>
      </c>
      <c r="FA18" s="20" t="str">
        <f>IF(VLOOKUP(BK18,Fundamentus!A:U,21,FALSE)&lt;0,"Negativo",IF(VLOOKUP(BK18,Fundamentus!A:U,21,FALSE)&lt;0.05,"Fraco",IF(VLOOKUP(BK18,Fundamentus!A:U,21,FALSE)&lt;0.1,"Bom",IF(VLOOKUP(BK18,Fundamentus!A:U,21,FALSE)&gt;0.1,"Muito bom","n/a"))))</f>
        <v>Muito bom</v>
      </c>
      <c r="FC18" s="37" t="str">
        <f>IF(VLOOKUP(BK18,Fundamentus!A:U,15,FALSE)&gt;1,"Bom",IF(VLOOKUP(BK18,Fundamentus!A:U,15,FALSE)&lt;1,"Ruim","n/a"))</f>
        <v>Ruim</v>
      </c>
      <c r="FD18" s="20" t="str">
        <f>IF(VLOOKUP(BK18,Fundamentus!A:U,20,FALSE)&lt;0.5,"Baixa",IF(VLOOKUP(BK18,Fundamentus!A:U,20,FALSE)&lt;1,"Moderada",IF(VLOOKUP(BK18,Fundamentus!A:U,20,FALSE)&lt;2,"Alerta",IF(VLOOKUP(BK18,Fundamentus!A:U,20,FALSE)&gt;2,"Alta","n/a"))))</f>
        <v>Moderada</v>
      </c>
    </row>
    <row r="19" spans="1:161" s="2" customFormat="1" ht="11.25" hidden="1"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8">
        <v>9.4</v>
      </c>
      <c r="BC19" s="62">
        <v>9.64</v>
      </c>
      <c r="BD19" s="62">
        <v>10.050000000000001</v>
      </c>
      <c r="BE19" s="62">
        <v>11.22</v>
      </c>
      <c r="BF19" s="62">
        <v>11.21</v>
      </c>
      <c r="BG19" s="81">
        <v>10.91</v>
      </c>
      <c r="BH19" s="62">
        <v>10.78</v>
      </c>
      <c r="BI19" s="62">
        <v>11.04</v>
      </c>
      <c r="BJ19" s="62" cm="1">
        <f t="array" aca="1" ref="BJ19" ca="1">_FV(EH19,"Preço")</f>
        <v>11.18</v>
      </c>
      <c r="BK19" s="83" t="s">
        <v>182</v>
      </c>
      <c r="BL19" s="44" cm="1">
        <f t="array" aca="1" ref="BL19" ca="1">_FV(EH19,"Média de volume",TRUE)</f>
        <v>10675220</v>
      </c>
      <c r="BM19" s="44">
        <v>4876200</v>
      </c>
      <c r="BN19" s="44" cm="1">
        <f t="array" aca="1" ref="BN19" ca="1">_FV(EH19,"Volume")</f>
        <v>3989000</v>
      </c>
      <c r="BO19" s="32" cm="1">
        <f t="array" aca="1" ref="BO19" ca="1">_FV(EH19,"Beta")</f>
        <v>1.4256</v>
      </c>
      <c r="BP19" s="86" cm="1">
        <f t="array" aca="1" ref="BP19" ca="1">_FV(EH19,"Variação (%)",TRUE)</f>
        <v>1.2681E-2</v>
      </c>
      <c r="BQ19" s="84"/>
      <c r="BR19" s="84"/>
      <c r="BT19" s="20" cm="1">
        <f t="array" aca="1" ref="BT19" ca="1">_FV(EH19,"Baixo")</f>
        <v>10.93</v>
      </c>
      <c r="BU19" s="20" cm="1">
        <f t="array" aca="1" ref="BU19" ca="1">_FV(EH19,"Alto")</f>
        <v>11.25</v>
      </c>
      <c r="BV19" s="32"/>
      <c r="BW19" s="73">
        <f ca="1">SQRT(22.5*(BJ19/VLOOKUP(BK19,Fundamentus!A:U,3,FALSE))*(BJ19/VLOOKUP(BK19,Fundamentus!A:U,4,FALSE)))</f>
        <v>7.5808351706395172</v>
      </c>
      <c r="BY19" s="72">
        <f t="shared" ca="1" si="0"/>
        <v>1.2681159420289908E-2</v>
      </c>
      <c r="BZ19" s="8"/>
      <c r="CA19" s="71">
        <f t="shared" si="36"/>
        <v>5.42</v>
      </c>
      <c r="CB19" s="71">
        <f t="shared" si="1"/>
        <v>13.63</v>
      </c>
      <c r="CC19" s="71">
        <f t="shared" si="37"/>
        <v>8.8429508196721311</v>
      </c>
      <c r="CD19" s="17"/>
      <c r="CE19" s="43">
        <f t="shared" si="19"/>
        <v>10.506723390743197</v>
      </c>
      <c r="CF19" s="18">
        <f>FORECAST("04/07/2025", BF19:BI19, $BF$5:$BI$5)</f>
        <v>10.824999999999989</v>
      </c>
      <c r="CG19" s="43">
        <f t="shared" si="20"/>
        <v>11.14327660925678</v>
      </c>
      <c r="CI19" s="17"/>
      <c r="CJ19" s="20">
        <f>CA19-2*(CB19-CM19)</f>
        <v>-1.7800000000000029</v>
      </c>
      <c r="CK19" s="20">
        <f>CM19-(CB19-CA19)</f>
        <v>1.8199999999999985</v>
      </c>
      <c r="CL19" s="20">
        <f>2*CM19-CB19</f>
        <v>6.4299999999999979</v>
      </c>
      <c r="CM19" s="48">
        <f>(CB19+CA19+BI19)/3</f>
        <v>10.029999999999999</v>
      </c>
      <c r="CN19" s="20">
        <f>2*CM19-CA19</f>
        <v>14.639999999999999</v>
      </c>
      <c r="CO19" s="20">
        <f>CM19+(CB19-CA19)</f>
        <v>18.240000000000002</v>
      </c>
      <c r="CP19" s="20">
        <f>CB19+2*(CM19-CA19)</f>
        <v>22.85</v>
      </c>
      <c r="CQ19" s="2" cm="1">
        <f t="array" aca="1" ref="CQ19" ca="1">MAX(_xlfn._xlws.FILTER(CJ19:CP19,CJ19:CP19&lt;BJ19))</f>
        <v>10.029999999999999</v>
      </c>
      <c r="CR19" s="2" cm="1">
        <f t="array" aca="1" ref="CR19" ca="1">MIN(_xlfn._xlws.FILTER($CJ19:$CP19,$CJ19:$CP19&gt;BJ19))</f>
        <v>14.639999999999999</v>
      </c>
      <c r="CS19" s="19">
        <f t="shared" ref="CS19:CS50" ca="1" si="55">(CR19/CQ19)-1</f>
        <v>0.45962113659022918</v>
      </c>
      <c r="CT19" s="23">
        <f t="shared" ref="CT19:CT50" ca="1" si="56">-$CS19/2</f>
        <v>-0.22981056829511459</v>
      </c>
      <c r="CU19" s="23">
        <f t="shared" ref="CU19:CU50" ca="1" si="57">-$CS19/3</f>
        <v>-0.15320704553007639</v>
      </c>
      <c r="CV19" s="23">
        <f t="shared" ref="CV19:CV50" ca="1" si="58">-$CS19/5</f>
        <v>-9.1924227318045837E-2</v>
      </c>
      <c r="CW19" s="23">
        <f t="shared" ref="CW19:CW50" ca="1" si="59">-$CS19/9</f>
        <v>-5.1069015176692129E-2</v>
      </c>
      <c r="CX19" s="23">
        <f t="shared" ref="CX19:CX50" ca="1" si="60">-$CS19/17</f>
        <v>-2.7036537446484071E-2</v>
      </c>
      <c r="CY19" s="23">
        <f t="shared" ref="CY19:CY50" ca="1" si="61">-$CS19/33</f>
        <v>-1.3927913230006944E-2</v>
      </c>
      <c r="CZ19" s="23">
        <f t="shared" ref="CZ19:CZ50" ca="1" si="62">-$CS19/65</f>
        <v>-7.0710944090804492E-3</v>
      </c>
      <c r="DA19" s="24">
        <f t="shared" ref="DA19:DA50" ca="1" si="63">-$CS19/65*-1</f>
        <v>7.0710944090804492E-3</v>
      </c>
      <c r="DB19" s="24">
        <f t="shared" ref="DB19:DB50" ca="1" si="64">-$CS19/33*-1</f>
        <v>1.3927913230006944E-2</v>
      </c>
      <c r="DC19" s="24">
        <f t="shared" ref="DC19:DC50" ca="1" si="65">-$CS19/17*-1</f>
        <v>2.7036537446484071E-2</v>
      </c>
      <c r="DD19" s="24">
        <f t="shared" ref="DD19:DD50" ca="1" si="66">-$CS19/9*-1</f>
        <v>5.1069015176692129E-2</v>
      </c>
      <c r="DE19" s="24">
        <f t="shared" ref="DE19:DE50" ca="1" si="67">-$CS19/5*-1</f>
        <v>9.1924227318045837E-2</v>
      </c>
      <c r="DF19" s="24">
        <f t="shared" ref="DF19:DF50" ca="1" si="68">-$CS19/3*-1</f>
        <v>0.15320704553007639</v>
      </c>
      <c r="DG19" s="24">
        <f t="shared" ref="DG19:DG50" ca="1" si="69">-$CS19/2*-1</f>
        <v>0.22981056829511459</v>
      </c>
      <c r="DI19" s="19" cm="1">
        <f t="array" aca="1" ref="DI19" ca="1">MAX(_xlfn._xlws.FILTER(CT19:DG19,CT19:DG19&lt;BP19))</f>
        <v>7.0710944090804492E-3</v>
      </c>
      <c r="DJ19" s="19" cm="1">
        <f t="array" aca="1" ref="DJ19" ca="1">MIN(_xlfn._xlws.FILTER(CT19:DG19,CT19:DG19&gt;BP19))</f>
        <v>1.3927913230006944E-2</v>
      </c>
      <c r="DK19" s="2" cm="1">
        <f t="array" aca="1" ref="DK19" ca="1">_FV(EH19,"Fechamento anterior",TRUE)</f>
        <v>11.04</v>
      </c>
      <c r="DL19" s="36">
        <f ca="1">(BJ19-DM19)/(DN19-DM19)</f>
        <v>0.81817314380364647</v>
      </c>
      <c r="DM19" s="18">
        <f t="shared" ref="DM19:DM50" ca="1" si="70">DK19+(DK19*DI19)</f>
        <v>11.118064882276247</v>
      </c>
      <c r="DN19" s="18">
        <f t="shared" ref="DN19:DN50" ca="1" si="71">DK19+(DK19*DJ19)</f>
        <v>11.193764162059276</v>
      </c>
      <c r="DO19" s="9"/>
      <c r="DP19" s="9"/>
      <c r="DQ19" s="95">
        <v>1.5412948009633087E-2</v>
      </c>
      <c r="DR19" s="95">
        <v>1.4286511524080581E-2</v>
      </c>
      <c r="DS19" s="95">
        <v>1.3041750260002045E-2</v>
      </c>
      <c r="DT19" s="95">
        <f t="shared" ca="1" si="12"/>
        <v>6.856818820926495E-3</v>
      </c>
      <c r="DU19" s="87">
        <f ca="1">(BJ19-CF19)/(CF19-CE19)</f>
        <v>1.1153819969019159</v>
      </c>
      <c r="DV19" s="46"/>
      <c r="DW19" s="43">
        <f>_xlfn.STDEV.P(BF19:BI19)</f>
        <v>0.1591383046283959</v>
      </c>
      <c r="DX19" s="76">
        <f ca="1">BO19-$DT$2</f>
        <v>0.42849999999999988</v>
      </c>
      <c r="DY19" s="76">
        <f ca="1">BO19-BP19*100</f>
        <v>0.15749999999999997</v>
      </c>
      <c r="DZ19" s="101"/>
      <c r="EA19" s="100">
        <v>-1.7312999999999998</v>
      </c>
      <c r="EB19" s="107">
        <v>-1.641</v>
      </c>
      <c r="EC19" s="107">
        <v>0.45340000000000003</v>
      </c>
      <c r="ED19" s="98">
        <f t="shared" ca="1" si="13"/>
        <v>0.27099999999999991</v>
      </c>
      <c r="EE19" s="66"/>
      <c r="EF19" s="66"/>
      <c r="EH19" s="2" t="e" vm="19">
        <v>#VALUE!</v>
      </c>
      <c r="EJ19" s="10" cm="1">
        <f t="array" aca="1" ref="EJ19" ca="1">_FV(EH19,"Ações em circulação",TRUE)</f>
        <v>1352245000</v>
      </c>
      <c r="EK19" s="21">
        <f>VLOOKUP(BK19,Fundamentus!A:U,5,FALSE)</f>
        <v>0.19600000000000001</v>
      </c>
      <c r="EL19" s="2">
        <f ca="1">(BJ19*EJ19)/EK19</f>
        <v>77133158673.469391</v>
      </c>
      <c r="EM19" s="20">
        <v>837839963.265306</v>
      </c>
      <c r="EN19" s="20">
        <f t="shared" ca="1" si="14"/>
        <v>848464745.40816331</v>
      </c>
      <c r="EP19" s="19">
        <f t="shared" ca="1" si="15"/>
        <v>1.2681159420290022E-2</v>
      </c>
      <c r="EQ19" s="40" t="str">
        <f>IF(VLOOKUP(BK19,Fundamentus!A:U,3,FALSE)&lt;15,"Bom",IF(VLOOKUP(BK19,Fundamentus!A:U,3,FALSE)&gt;15,"Ruim","n/a"))</f>
        <v>Ruim</v>
      </c>
      <c r="ER19" s="36" t="str">
        <f>IF(VLOOKUP(BK19,Fundamentus!A:U,4,FALSE)&lt;1,"Baixo",IF(VLOOKUP(BK19,Fundamentus!A:U,4,FALSE)&lt;1.5,"Moderado",IF(VLOOKUP(BK19,Fundamentus!A:U,4,FALSE)&gt;1.5,"Alto","n/a")))</f>
        <v>Alto</v>
      </c>
      <c r="ES19" s="20" t="str">
        <f>IF(VLOOKUP(BK19,Fundamentus!A:U,8,FALSE)&lt;0,"Risco elevado",IF(VLOOKUP(BK19,Fundamentus!A:U,8,FALSE)&lt;1,"Saudável",IF(VLOOKUP(BK19,Fundamentus!A:U,8,FALSE)&lt;3,"Estável",IF(VLOOKUP(BK19,Fundamentus!A:U,8,FALSE)&gt;3,"Alerta","n/a"))))</f>
        <v>Alerta</v>
      </c>
      <c r="ET19" s="36" t="str">
        <f t="shared" si="16"/>
        <v>Ruim</v>
      </c>
      <c r="EU19" s="20" t="str">
        <f>IF(VLOOKUP(BK19,Fundamentus!A:U,12,FALSE)&lt;2,"Subvalorizada",IF(VLOOKUP(BK19,Fundamentus!A:U,12,FALSE)&lt;6,"Muita barata",IF(VLOOKUP(BK19,Fundamentus!A:U,12,FALSE)&lt;6,"Barata",IF(VLOOKUP(BK19,Fundamentus!A:U,12,FALSE)&lt;8,"Atrativa",IF(VLOOKUP(BK19,Fundamentus!A:U,12,FALSE)&gt;8,"Supervalorizada","n/a")))))</f>
        <v>Muita barata</v>
      </c>
      <c r="EW19" s="20" t="str">
        <f>IF(VLOOKUP(BK19,Fundamentus!A:U,17,FALSE)&lt;0.1,"Fraco retorno",IF(VLOOKUP(BK19,Fundamentus!A:U,17,FALSE)&gt;0.1,"Bom retorno","n/a"))</f>
        <v>Bom retorno</v>
      </c>
      <c r="EX19" s="20" t="str">
        <f>IF(VLOOKUP(BK19,Fundamentus!A:U,16,FALSE)&lt;0.1,"Ineficiente",IF(VLOOKUP(BK19,Fundamentus!A:U,16,FALSE)&gt;0.1,"Eficiente","n/a"))</f>
        <v>Eficiente</v>
      </c>
      <c r="EY19" s="41" t="str">
        <f>IF(VLOOKUP(BK19,Fundamentus!A:U,16,FALSE)&lt;0.1,"Oper. Ineficiente",IF(VLOOKUP(BK19,Fundamentus!A:U,16,FALSE)&gt;0.1,"Oper.Eficiente","n/a"))</f>
        <v>Oper.Eficiente</v>
      </c>
      <c r="EZ19" s="42">
        <f>VLOOKUP(BK19,Fundamentus!A:U,14,FALSE)</f>
        <v>1.0999999999999999E-2</v>
      </c>
      <c r="FA19" s="20" t="str">
        <f>IF(VLOOKUP(BK19,Fundamentus!A:U,21,FALSE)&lt;0,"Negativo",IF(VLOOKUP(BK19,Fundamentus!A:U,21,FALSE)&lt;0.05,"Fraco",IF(VLOOKUP(BK19,Fundamentus!A:U,21,FALSE)&lt;0.1,"Bom",IF(VLOOKUP(BK19,Fundamentus!A:U,21,FALSE)&gt;0.1,"Muito bom","n/a"))))</f>
        <v>Muito bom</v>
      </c>
      <c r="FC19" s="37" t="str">
        <f>IF(VLOOKUP(BK19,Fundamentus!A:U,15,FALSE)&gt;1,"Bom",IF(VLOOKUP(BK19,Fundamentus!A:U,15,FALSE)&lt;1,"Ruim","n/a"))</f>
        <v>Bom</v>
      </c>
      <c r="FD19" s="20" t="str">
        <f>IF(VLOOKUP(BK19,Fundamentus!A:U,20,FALSE)&lt;0.5,"Baixa",IF(VLOOKUP(BK19,Fundamentus!A:U,20,FALSE)&lt;1,"Moderada",IF(VLOOKUP(BK19,Fundamentus!A:U,20,FALSE)&lt;2,"Alerta",IF(VLOOKUP(BK19,Fundamentus!A:U,20,FALSE)&gt;2,"Alta","n/a"))))</f>
        <v>Alta</v>
      </c>
      <c r="FE19" s="10"/>
    </row>
    <row r="20" spans="1:161" s="2" customFormat="1" ht="11.25" hidden="1"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8">
        <v>5.48</v>
      </c>
      <c r="BC20" s="62">
        <v>5.59</v>
      </c>
      <c r="BD20" s="62">
        <v>5.45</v>
      </c>
      <c r="BE20" s="62">
        <v>5.46</v>
      </c>
      <c r="BF20" s="62">
        <v>5.35</v>
      </c>
      <c r="BG20" s="81">
        <v>5.31</v>
      </c>
      <c r="BH20" s="62">
        <v>5.26</v>
      </c>
      <c r="BI20" s="62">
        <v>5.22</v>
      </c>
      <c r="BJ20" s="62" cm="1">
        <f t="array" aca="1" ref="BJ20" ca="1">_FV(EH20,"Preço")</f>
        <v>5.24</v>
      </c>
      <c r="BK20" s="83" t="s">
        <v>17</v>
      </c>
      <c r="BL20" s="44" cm="1">
        <f t="array" aca="1" ref="BL20" ca="1">_FV(EH20,"Média de volume",TRUE)</f>
        <v>409800</v>
      </c>
      <c r="BM20" s="44">
        <v>514100</v>
      </c>
      <c r="BN20" s="44" cm="1">
        <f t="array" aca="1" ref="BN20" ca="1">_FV(EH20,"Volume")</f>
        <v>155600</v>
      </c>
      <c r="BO20" s="32" cm="1">
        <f t="array" aca="1" ref="BO20" ca="1">_FV(EH20,"Beta")</f>
        <v>0.60719999999999996</v>
      </c>
      <c r="BP20" s="86" cm="1">
        <f t="array" aca="1" ref="BP20" ca="1">_FV(EH20,"Variação (%)",TRUE)</f>
        <v>3.8309999999999998E-3</v>
      </c>
      <c r="BQ20" s="48"/>
      <c r="BR20" s="48"/>
      <c r="BT20" s="20" cm="1">
        <f t="array" aca="1" ref="BT20" ca="1">_FV(EH20,"Baixo")</f>
        <v>5.18</v>
      </c>
      <c r="BU20" s="20" cm="1">
        <f t="array" aca="1" ref="BU20" ca="1">_FV(EH20,"Alto")</f>
        <v>5.26</v>
      </c>
      <c r="BV20" s="32"/>
      <c r="BW20" s="73">
        <f ca="1">SQRT(22.5*(BJ20/VLOOKUP(BK20,Fundamentus!A:U,3,FALSE))*(BJ20/VLOOKUP(BK20,Fundamentus!A:U,4,FALSE)))</f>
        <v>8.201394338041462</v>
      </c>
      <c r="BY20" s="72">
        <f t="shared" ca="1" si="0"/>
        <v>3.8314176245211615E-3</v>
      </c>
      <c r="BZ20" s="8"/>
      <c r="CA20" s="71">
        <f t="shared" si="36"/>
        <v>5.22</v>
      </c>
      <c r="CB20" s="71">
        <f t="shared" si="1"/>
        <v>6.78</v>
      </c>
      <c r="CC20" s="71">
        <f t="shared" si="37"/>
        <v>5.9234426229508204</v>
      </c>
      <c r="CD20" s="17"/>
      <c r="CE20" s="43">
        <f t="shared" si="19"/>
        <v>5.0765114219820502</v>
      </c>
      <c r="CF20" s="18">
        <f>FORECAST("04/07/2025", BF20:BI20, $BF$5:$BI$5)</f>
        <v>5.1750000000000114</v>
      </c>
      <c r="CG20" s="43">
        <f t="shared" si="20"/>
        <v>5.2734885780179726</v>
      </c>
      <c r="CI20" s="17"/>
      <c r="CJ20" s="20">
        <f>CA20-2*(CB20-CM20)</f>
        <v>3.1399999999999979</v>
      </c>
      <c r="CK20" s="20">
        <f>CM20-(CB20-CA20)</f>
        <v>4.1799999999999988</v>
      </c>
      <c r="CL20" s="20">
        <f>2*CM20-CB20</f>
        <v>4.6999999999999984</v>
      </c>
      <c r="CM20" s="48">
        <f>(CB20+CA20+BI20)/3</f>
        <v>5.7399999999999993</v>
      </c>
      <c r="CN20" s="20">
        <f>2*CM20-CA20</f>
        <v>6.2599999999999989</v>
      </c>
      <c r="CO20" s="20">
        <f>CM20+(CB20-CA20)</f>
        <v>7.3</v>
      </c>
      <c r="CP20" s="20">
        <f>CB20+2*(CM20-CA20)</f>
        <v>7.8199999999999994</v>
      </c>
      <c r="CQ20" s="2" cm="1">
        <f t="array" aca="1" ref="CQ20" ca="1">MAX(_xlfn._xlws.FILTER(CJ20:CP20,CJ20:CP20&lt;BJ20))</f>
        <v>4.6999999999999984</v>
      </c>
      <c r="CR20" s="2" cm="1">
        <f t="array" aca="1" ref="CR20" ca="1">MIN(_xlfn._xlws.FILTER($CJ20:$CP20,$CJ20:$CP20&gt;BJ20))</f>
        <v>5.7399999999999993</v>
      </c>
      <c r="CS20" s="19">
        <f t="shared" ca="1" si="55"/>
        <v>0.22127659574468117</v>
      </c>
      <c r="CT20" s="23">
        <f t="shared" ca="1" si="56"/>
        <v>-0.11063829787234059</v>
      </c>
      <c r="CU20" s="23">
        <f t="shared" ca="1" si="57"/>
        <v>-7.3758865248227057E-2</v>
      </c>
      <c r="CV20" s="23">
        <f t="shared" ca="1" si="58"/>
        <v>-4.4255319148936233E-2</v>
      </c>
      <c r="CW20" s="23">
        <f t="shared" ca="1" si="59"/>
        <v>-2.4586288416075686E-2</v>
      </c>
      <c r="CX20" s="23">
        <f t="shared" ca="1" si="60"/>
        <v>-1.3016270337922423E-2</v>
      </c>
      <c r="CY20" s="23">
        <f t="shared" ca="1" si="61"/>
        <v>-6.7053513862024598E-3</v>
      </c>
      <c r="CZ20" s="23">
        <f t="shared" ca="1" si="62"/>
        <v>-3.4042553191489409E-3</v>
      </c>
      <c r="DA20" s="24">
        <f t="shared" ca="1" si="63"/>
        <v>3.4042553191489409E-3</v>
      </c>
      <c r="DB20" s="24">
        <f t="shared" ca="1" si="64"/>
        <v>6.7053513862024598E-3</v>
      </c>
      <c r="DC20" s="24">
        <f t="shared" ca="1" si="65"/>
        <v>1.3016270337922423E-2</v>
      </c>
      <c r="DD20" s="24">
        <f t="shared" ca="1" si="66"/>
        <v>2.4586288416075686E-2</v>
      </c>
      <c r="DE20" s="24">
        <f t="shared" ca="1" si="67"/>
        <v>4.4255319148936233E-2</v>
      </c>
      <c r="DF20" s="24">
        <f t="shared" ca="1" si="68"/>
        <v>7.3758865248227057E-2</v>
      </c>
      <c r="DG20" s="24">
        <f t="shared" ca="1" si="69"/>
        <v>0.11063829787234059</v>
      </c>
      <c r="DI20" s="19" cm="1">
        <f t="array" aca="1" ref="DI20" ca="1">MAX(_xlfn._xlws.FILTER(CT20:DG20,CT20:DG20&lt;BP20))</f>
        <v>3.4042553191489409E-3</v>
      </c>
      <c r="DJ20" s="19" cm="1">
        <f t="array" aca="1" ref="DJ20" ca="1">MIN(_xlfn._xlws.FILTER(CT20:DG20,CT20:DG20&gt;BP20))</f>
        <v>6.7053513862024598E-3</v>
      </c>
      <c r="DK20" s="2" cm="1">
        <f t="array" aca="1" ref="DK20" ca="1">_FV(EH20,"Fechamento anterior",TRUE)</f>
        <v>5.22</v>
      </c>
      <c r="DL20" s="36">
        <f ca="1">(BJ20-DM20)/(DN20-DM20)</f>
        <v>0.12940014367819153</v>
      </c>
      <c r="DM20" s="18">
        <f t="shared" ca="1" si="70"/>
        <v>5.2377702127659571</v>
      </c>
      <c r="DN20" s="18">
        <f t="shared" ca="1" si="71"/>
        <v>5.2550019342359766</v>
      </c>
      <c r="DO20" s="9"/>
      <c r="DP20" s="9"/>
      <c r="DQ20" s="94">
        <v>3.5782176003578171E-3</v>
      </c>
      <c r="DR20" s="94">
        <v>5.3280053280053323E-3</v>
      </c>
      <c r="DS20" s="94">
        <v>6.2859578095035189E-3</v>
      </c>
      <c r="DT20" s="94">
        <f t="shared" ca="1" si="12"/>
        <v>3.3010960670535189E-3</v>
      </c>
      <c r="DU20" s="87">
        <f ca="1">(BJ20-CF20)/(CF20-CE20)</f>
        <v>0.6599750073367382</v>
      </c>
      <c r="DV20" s="46"/>
      <c r="DW20" s="43">
        <f>_xlfn.STDEV.P(BF20:BI20)</f>
        <v>4.9244289008980466E-2</v>
      </c>
      <c r="DX20" s="76">
        <f ca="1">BO20-$DT$2</f>
        <v>-0.38990000000000014</v>
      </c>
      <c r="DY20" s="76">
        <f ca="1">BO20-BP20*100</f>
        <v>0.22409999999999997</v>
      </c>
      <c r="DZ20" s="101"/>
      <c r="EA20" s="100">
        <v>-0.63239999999999985</v>
      </c>
      <c r="EB20" s="107">
        <v>0.11410000000000009</v>
      </c>
      <c r="EC20" s="107">
        <v>1.1479999999999999</v>
      </c>
      <c r="ED20" s="98">
        <f t="shared" ca="1" si="13"/>
        <v>-0.6140000000000001</v>
      </c>
      <c r="EE20" s="66"/>
      <c r="EF20" s="66"/>
      <c r="EH20" s="2" t="e" vm="20">
        <v>#VALUE!</v>
      </c>
      <c r="EJ20" s="10" cm="1">
        <f t="array" aca="1" ref="EJ20" ca="1">_FV(EH20,"Ações em circulação",TRUE)</f>
        <v>357374800</v>
      </c>
      <c r="EK20" s="21">
        <f>VLOOKUP(BK20,Fundamentus!A:U,5,FALSE)</f>
        <v>0.95599999999999996</v>
      </c>
      <c r="EL20" s="2">
        <f ca="1">(BJ20*EJ20)/EK20</f>
        <v>1958832585.7740586</v>
      </c>
      <c r="EM20" s="20">
        <v>261871992.04518834</v>
      </c>
      <c r="EN20" s="20">
        <f t="shared" ca="1" si="14"/>
        <v>262875333.01087868</v>
      </c>
      <c r="EP20" s="19">
        <f t="shared" ca="1" si="15"/>
        <v>3.8314176245208831E-3</v>
      </c>
      <c r="EQ20" s="40" t="str">
        <f>IF(VLOOKUP(BK20,Fundamentus!A:U,3,FALSE)&lt;15,"Bom",IF(VLOOKUP(BK20,Fundamentus!A:U,3,FALSE)&gt;15,"Ruim","n/a"))</f>
        <v>Bom</v>
      </c>
      <c r="ER20" s="36" t="str">
        <f>IF(VLOOKUP(BK20,Fundamentus!A:U,4,FALSE)&lt;1,"Baixo",IF(VLOOKUP(BK20,Fundamentus!A:U,4,FALSE)&lt;1.5,"Moderado",IF(VLOOKUP(BK20,Fundamentus!A:U,4,FALSE)&gt;1.5,"Alto","n/a")))</f>
        <v>Moderado</v>
      </c>
      <c r="ES20" s="20" t="str">
        <f>IF(VLOOKUP(BK20,Fundamentus!A:U,8,FALSE)&lt;0,"Risco elevado",IF(VLOOKUP(BK20,Fundamentus!A:U,8,FALSE)&lt;1,"Saudável",IF(VLOOKUP(BK20,Fundamentus!A:U,8,FALSE)&lt;3,"Estável",IF(VLOOKUP(BK20,Fundamentus!A:U,8,FALSE)&gt;3,"Alerta","n/a"))))</f>
        <v>Estável</v>
      </c>
      <c r="ET20" s="36" t="str">
        <f t="shared" si="16"/>
        <v>Ruim</v>
      </c>
      <c r="EU20" s="20" t="str">
        <f>IF(VLOOKUP(BK20,Fundamentus!A:U,12,FALSE)&lt;2,"Subvalorizada",IF(VLOOKUP(BK20,Fundamentus!A:U,12,FALSE)&lt;6,"Muita barata",IF(VLOOKUP(BK20,Fundamentus!A:U,12,FALSE)&lt;6,"Barata",IF(VLOOKUP(BK20,Fundamentus!A:U,12,FALSE)&lt;8,"Atrativa",IF(VLOOKUP(BK20,Fundamentus!A:U,12,FALSE)&gt;8,"Supervalorizada","n/a")))))</f>
        <v>Atrativa</v>
      </c>
      <c r="EW20" s="20" t="str">
        <f>IF(VLOOKUP(BK20,Fundamentus!A:U,17,FALSE)&lt;0.1,"Fraco retorno",IF(VLOOKUP(BK20,Fundamentus!A:U,17,FALSE)&gt;0.1,"Bom retorno","n/a"))</f>
        <v>Bom retorno</v>
      </c>
      <c r="EX20" s="20" t="str">
        <f>IF(VLOOKUP(BK20,Fundamentus!A:U,16,FALSE)&lt;0.1,"Ineficiente",IF(VLOOKUP(BK20,Fundamentus!A:U,16,FALSE)&gt;0.1,"Eficiente","n/a"))</f>
        <v>Eficiente</v>
      </c>
      <c r="EY20" s="41" t="str">
        <f>IF(VLOOKUP(BK20,Fundamentus!A:U,16,FALSE)&lt;0.1,"Oper. Ineficiente",IF(VLOOKUP(BK20,Fundamentus!A:U,16,FALSE)&gt;0.1,"Oper.Eficiente","n/a"))</f>
        <v>Oper.Eficiente</v>
      </c>
      <c r="EZ20" s="42">
        <f>VLOOKUP(BK20,Fundamentus!A:U,14,FALSE)</f>
        <v>0.13420000000000001</v>
      </c>
      <c r="FA20" s="20" t="str">
        <f>IF(VLOOKUP(BK20,Fundamentus!A:U,21,FALSE)&lt;0,"Negativo",IF(VLOOKUP(BK20,Fundamentus!A:U,21,FALSE)&lt;0.05,"Fraco",IF(VLOOKUP(BK20,Fundamentus!A:U,21,FALSE)&lt;0.1,"Bom",IF(VLOOKUP(BK20,Fundamentus!A:U,21,FALSE)&gt;0.1,"Muito bom","n/a"))))</f>
        <v>Muito bom</v>
      </c>
      <c r="FC20" s="37" t="str">
        <f>IF(VLOOKUP(BK20,Fundamentus!A:U,15,FALSE)&gt;1,"Bom",IF(VLOOKUP(BK20,Fundamentus!A:U,15,FALSE)&lt;1,"Ruim","n/a"))</f>
        <v>Bom</v>
      </c>
      <c r="FD20" s="20" t="str">
        <f>IF(VLOOKUP(BK20,Fundamentus!A:U,20,FALSE)&lt;0.5,"Baixa",IF(VLOOKUP(BK20,Fundamentus!A:U,20,FALSE)&lt;1,"Moderada",IF(VLOOKUP(BK20,Fundamentus!A:U,20,FALSE)&lt;2,"Alerta",IF(VLOOKUP(BK20,Fundamentus!A:U,20,FALSE)&gt;2,"Alta","n/a"))))</f>
        <v>Moderada</v>
      </c>
    </row>
    <row r="21" spans="1:161" s="2" customFormat="1" ht="11.25" hidden="1"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8">
        <v>29.15</v>
      </c>
      <c r="BC21" s="62">
        <v>28.83</v>
      </c>
      <c r="BD21" s="62">
        <v>30.66</v>
      </c>
      <c r="BE21" s="62">
        <v>32.1</v>
      </c>
      <c r="BF21" s="62">
        <v>30.5</v>
      </c>
      <c r="BG21" s="81">
        <v>30.25</v>
      </c>
      <c r="BH21" s="62">
        <v>29.26</v>
      </c>
      <c r="BI21" s="62">
        <v>29.55</v>
      </c>
      <c r="BJ21" s="62" cm="1">
        <f t="array" aca="1" ref="BJ21" ca="1">_FV(EH21,"Preço")</f>
        <v>30.13</v>
      </c>
      <c r="BK21" s="83" t="s">
        <v>18</v>
      </c>
      <c r="BL21" s="44" cm="1">
        <f t="array" aca="1" ref="BL21" ca="1">_FV(EH21,"Média de volume",TRUE)</f>
        <v>215370</v>
      </c>
      <c r="BM21" s="44">
        <v>151400</v>
      </c>
      <c r="BN21" s="44" cm="1">
        <f t="array" aca="1" ref="BN21" ca="1">_FV(EH21,"Volume")</f>
        <v>130300</v>
      </c>
      <c r="BO21" s="32" cm="1">
        <f t="array" aca="1" ref="BO21" ca="1">_FV(EH21,"Beta")</f>
        <v>0.73880000000000001</v>
      </c>
      <c r="BP21" s="86" cm="1">
        <f t="array" aca="1" ref="BP21" ca="1">_FV(EH21,"Variação (%)",TRUE)</f>
        <v>1.9628E-2</v>
      </c>
      <c r="BQ21" s="48"/>
      <c r="BR21" s="48"/>
      <c r="BT21" s="20" cm="1">
        <f t="array" aca="1" ref="BT21" ca="1">_FV(EH21,"Baixo")</f>
        <v>29.55</v>
      </c>
      <c r="BU21" s="20" cm="1">
        <f t="array" aca="1" ref="BU21" ca="1">_FV(EH21,"Alto")</f>
        <v>30.2</v>
      </c>
      <c r="BV21" s="32"/>
      <c r="BW21" s="73">
        <f ca="1">SQRT(22.5*(BJ21/VLOOKUP(BK21,Fundamentus!A:U,3,FALSE))*(BJ21/VLOOKUP(BK21,Fundamentus!A:U,4,FALSE)))</f>
        <v>23.205868365337391</v>
      </c>
      <c r="BY21" s="72">
        <f t="shared" ca="1" si="0"/>
        <v>1.9627749576988096E-2</v>
      </c>
      <c r="BZ21" s="8"/>
      <c r="CA21" s="71">
        <f t="shared" si="36"/>
        <v>26.18</v>
      </c>
      <c r="CB21" s="71">
        <f t="shared" si="1"/>
        <v>34.200000000000003</v>
      </c>
      <c r="CC21" s="71">
        <f t="shared" si="37"/>
        <v>30.07196721311475</v>
      </c>
      <c r="CD21" s="17"/>
      <c r="CE21" s="43">
        <f t="shared" si="19"/>
        <v>27.922925027616948</v>
      </c>
      <c r="CF21" s="18">
        <f>FORECAST("04/07/2025", BF21:BI21, $BF$5:$BI$5)</f>
        <v>28.929999999999836</v>
      </c>
      <c r="CG21" s="43">
        <f t="shared" si="20"/>
        <v>29.937074972382725</v>
      </c>
      <c r="CI21" s="17"/>
      <c r="CJ21" s="20">
        <f>CA21-2*(CB21-CM21)</f>
        <v>17.733333333333334</v>
      </c>
      <c r="CK21" s="20">
        <f>CM21-(CB21-CA21)</f>
        <v>21.956666666666667</v>
      </c>
      <c r="CL21" s="20">
        <f>2*CM21-CB21</f>
        <v>25.753333333333337</v>
      </c>
      <c r="CM21" s="48">
        <f>(CB21+CA21+BI21)/3</f>
        <v>29.97666666666667</v>
      </c>
      <c r="CN21" s="20">
        <f>2*CM21-CA21</f>
        <v>33.773333333333341</v>
      </c>
      <c r="CO21" s="20">
        <f>CM21+(CB21-CA21)</f>
        <v>37.99666666666667</v>
      </c>
      <c r="CP21" s="20">
        <f>CB21+2*(CM21-CA21)</f>
        <v>41.793333333333344</v>
      </c>
      <c r="CQ21" s="2" cm="1">
        <f t="array" aca="1" ref="CQ21" ca="1">MAX(_xlfn._xlws.FILTER(CJ21:CP21,CJ21:CP21&lt;BJ21))</f>
        <v>29.97666666666667</v>
      </c>
      <c r="CR21" s="2" cm="1">
        <f t="array" aca="1" ref="CR21" ca="1">MIN(_xlfn._xlws.FILTER($CJ21:$CP21,$CJ21:$CP21&gt;BJ21))</f>
        <v>33.773333333333341</v>
      </c>
      <c r="CS21" s="19">
        <f t="shared" ca="1" si="55"/>
        <v>0.12665406427221182</v>
      </c>
      <c r="CT21" s="23">
        <f t="shared" ca="1" si="56"/>
        <v>-6.332703213610591E-2</v>
      </c>
      <c r="CU21" s="23">
        <f t="shared" ca="1" si="57"/>
        <v>-4.2218021424070606E-2</v>
      </c>
      <c r="CV21" s="23">
        <f t="shared" ca="1" si="58"/>
        <v>-2.5330812854442365E-2</v>
      </c>
      <c r="CW21" s="23">
        <f t="shared" ca="1" si="59"/>
        <v>-1.4072673808023536E-2</v>
      </c>
      <c r="CX21" s="23">
        <f t="shared" ca="1" si="60"/>
        <v>-7.450239074835989E-3</v>
      </c>
      <c r="CY21" s="23">
        <f t="shared" ca="1" si="61"/>
        <v>-3.8380019476427826E-3</v>
      </c>
      <c r="CZ21" s="23">
        <f t="shared" ca="1" si="62"/>
        <v>-1.9485240657263357E-3</v>
      </c>
      <c r="DA21" s="24">
        <f t="shared" ca="1" si="63"/>
        <v>1.9485240657263357E-3</v>
      </c>
      <c r="DB21" s="24">
        <f t="shared" ca="1" si="64"/>
        <v>3.8380019476427826E-3</v>
      </c>
      <c r="DC21" s="24">
        <f t="shared" ca="1" si="65"/>
        <v>7.450239074835989E-3</v>
      </c>
      <c r="DD21" s="24">
        <f t="shared" ca="1" si="66"/>
        <v>1.4072673808023536E-2</v>
      </c>
      <c r="DE21" s="24">
        <f t="shared" ca="1" si="67"/>
        <v>2.5330812854442365E-2</v>
      </c>
      <c r="DF21" s="24">
        <f t="shared" ca="1" si="68"/>
        <v>4.2218021424070606E-2</v>
      </c>
      <c r="DG21" s="24">
        <f t="shared" ca="1" si="69"/>
        <v>6.332703213610591E-2</v>
      </c>
      <c r="DI21" s="19" cm="1">
        <f t="array" aca="1" ref="DI21" ca="1">MAX(_xlfn._xlws.FILTER(CT21:DG21,CT21:DG21&lt;BP21))</f>
        <v>1.4072673808023536E-2</v>
      </c>
      <c r="DJ21" s="19" cm="1">
        <f t="array" aca="1" ref="DJ21" ca="1">MIN(_xlfn._xlws.FILTER(CT21:DG21,CT21:DG21&gt;BP21))</f>
        <v>2.5330812854442365E-2</v>
      </c>
      <c r="DK21" s="2" cm="1">
        <f t="array" aca="1" ref="DK21" ca="1">_FV(EH21,"Fechamento anterior",TRUE)</f>
        <v>29.55</v>
      </c>
      <c r="DL21" s="36">
        <f ca="1">(BJ21-DM21)/(DN21-DM21)</f>
        <v>0.49342753238880921</v>
      </c>
      <c r="DM21" s="18">
        <f t="shared" ca="1" si="70"/>
        <v>29.965847511027096</v>
      </c>
      <c r="DN21" s="18">
        <f t="shared" ca="1" si="71"/>
        <v>30.298525519848774</v>
      </c>
      <c r="DO21" s="9"/>
      <c r="DP21" s="9"/>
      <c r="DQ21" s="94">
        <v>1.2930523821612933E-2</v>
      </c>
      <c r="DR21" s="94">
        <v>1.1699362499658014E-2</v>
      </c>
      <c r="DS21" s="94">
        <v>6.9751391674401156E-3</v>
      </c>
      <c r="DT21" s="94">
        <f t="shared" ca="1" si="12"/>
        <v>1.1258139046418829E-2</v>
      </c>
      <c r="DU21" s="87">
        <f ca="1">(BJ21-CF21)/(CF21-CE21)</f>
        <v>1.1915696774399878</v>
      </c>
      <c r="DV21" s="46"/>
      <c r="DW21" s="43">
        <f>_xlfn.STDEV.P(BF21:BI21)</f>
        <v>0.50353748619144467</v>
      </c>
      <c r="DX21" s="76">
        <f ca="1">BO21-$DT$2</f>
        <v>-0.25830000000000009</v>
      </c>
      <c r="DY21" s="76">
        <f ca="1">BO21-BP21*100</f>
        <v>-1.2239999999999998</v>
      </c>
      <c r="DZ21" s="101"/>
      <c r="EA21" s="100">
        <v>-0.55769999999999986</v>
      </c>
      <c r="EB21" s="107">
        <v>-1.5488</v>
      </c>
      <c r="EC21" s="107">
        <v>-0.12270000000000003</v>
      </c>
      <c r="ED21" s="98">
        <f t="shared" ca="1" si="13"/>
        <v>0.96569999999999967</v>
      </c>
      <c r="EE21" s="66"/>
      <c r="EF21" s="66"/>
      <c r="EH21" s="2" t="e" vm="21">
        <v>#VALUE!</v>
      </c>
      <c r="EJ21" s="10" cm="1">
        <f t="array" aca="1" ref="EJ21" ca="1">_FV(EH21,"Ações em circulação",TRUE)</f>
        <v>135539000</v>
      </c>
      <c r="EK21" s="21">
        <f>VLOOKUP(BK21,Fundamentus!A:U,5,FALSE)</f>
        <v>0.85299999999999998</v>
      </c>
      <c r="EL21" s="2">
        <f ca="1">(BJ21*EJ21)/EK21</f>
        <v>4787561629.5427904</v>
      </c>
      <c r="EM21" s="20">
        <v>488321752.40328258</v>
      </c>
      <c r="EN21" s="20">
        <f t="shared" ca="1" si="14"/>
        <v>497906409.4724502</v>
      </c>
      <c r="EP21" s="19">
        <f t="shared" ca="1" si="15"/>
        <v>1.9627749576988096E-2</v>
      </c>
      <c r="EQ21" s="40" t="str">
        <f>IF(VLOOKUP(BK21,Fundamentus!A:U,3,FALSE)&lt;15,"Bom",IF(VLOOKUP(BK21,Fundamentus!A:U,3,FALSE)&gt;15,"Ruim","n/a"))</f>
        <v>Bom</v>
      </c>
      <c r="ER21" s="36" t="str">
        <f>IF(VLOOKUP(BK21,Fundamentus!A:U,4,FALSE)&lt;1,"Baixo",IF(VLOOKUP(BK21,Fundamentus!A:U,4,FALSE)&lt;1.5,"Moderado",IF(VLOOKUP(BK21,Fundamentus!A:U,4,FALSE)&gt;1.5,"Alto","n/a")))</f>
        <v>Alto</v>
      </c>
      <c r="ES21" s="20" t="str">
        <f>IF(VLOOKUP(BK21,Fundamentus!A:U,8,FALSE)&lt;0,"Risco elevado",IF(VLOOKUP(BK21,Fundamentus!A:U,8,FALSE)&lt;1,"Saudável",IF(VLOOKUP(BK21,Fundamentus!A:U,8,FALSE)&lt;3,"Estável",IF(VLOOKUP(BK21,Fundamentus!A:U,8,FALSE)&gt;3,"Alerta","n/a"))))</f>
        <v>Alerta</v>
      </c>
      <c r="ET21" s="36" t="str">
        <f t="shared" si="16"/>
        <v>Ruim</v>
      </c>
      <c r="EU21" s="20" t="str">
        <f>IF(VLOOKUP(BK21,Fundamentus!A:U,12,FALSE)&lt;2,"Subvalorizada",IF(VLOOKUP(BK21,Fundamentus!A:U,12,FALSE)&lt;6,"Muita barata",IF(VLOOKUP(BK21,Fundamentus!A:U,12,FALSE)&lt;6,"Barata",IF(VLOOKUP(BK21,Fundamentus!A:U,12,FALSE)&lt;8,"Atrativa",IF(VLOOKUP(BK21,Fundamentus!A:U,12,FALSE)&gt;8,"Supervalorizada","n/a")))))</f>
        <v>Muita barata</v>
      </c>
      <c r="EW21" s="20" t="str">
        <f>IF(VLOOKUP(BK21,Fundamentus!A:U,17,FALSE)&lt;0.1,"Fraco retorno",IF(VLOOKUP(BK21,Fundamentus!A:U,17,FALSE)&gt;0.1,"Bom retorno","n/a"))</f>
        <v>Bom retorno</v>
      </c>
      <c r="EX21" s="20" t="str">
        <f>IF(VLOOKUP(BK21,Fundamentus!A:U,16,FALSE)&lt;0.1,"Ineficiente",IF(VLOOKUP(BK21,Fundamentus!A:U,16,FALSE)&gt;0.1,"Eficiente","n/a"))</f>
        <v>Eficiente</v>
      </c>
      <c r="EY21" s="41" t="str">
        <f>IF(VLOOKUP(BK21,Fundamentus!A:U,16,FALSE)&lt;0.1,"Oper. Ineficiente",IF(VLOOKUP(BK21,Fundamentus!A:U,16,FALSE)&gt;0.1,"Oper.Eficiente","n/a"))</f>
        <v>Oper.Eficiente</v>
      </c>
      <c r="EZ21" s="42">
        <f>VLOOKUP(BK21,Fundamentus!A:U,14,FALSE)</f>
        <v>0.104</v>
      </c>
      <c r="FA21" s="20" t="str">
        <f>IF(VLOOKUP(BK21,Fundamentus!A:U,21,FALSE)&lt;0,"Negativo",IF(VLOOKUP(BK21,Fundamentus!A:U,21,FALSE)&lt;0.05,"Fraco",IF(VLOOKUP(BK21,Fundamentus!A:U,21,FALSE)&lt;0.1,"Bom",IF(VLOOKUP(BK21,Fundamentus!A:U,21,FALSE)&gt;0.1,"Muito bom","n/a"))))</f>
        <v>Muito bom</v>
      </c>
      <c r="FC21" s="37" t="str">
        <f>IF(VLOOKUP(BK21,Fundamentus!A:U,15,FALSE)&gt;1,"Bom",IF(VLOOKUP(BK21,Fundamentus!A:U,15,FALSE)&lt;1,"Ruim","n/a"))</f>
        <v>Bom</v>
      </c>
      <c r="FD21" s="20" t="str">
        <f>IF(VLOOKUP(BK21,Fundamentus!A:U,20,FALSE)&lt;0.5,"Baixa",IF(VLOOKUP(BK21,Fundamentus!A:U,20,FALSE)&lt;1,"Moderada",IF(VLOOKUP(BK21,Fundamentus!A:U,20,FALSE)&lt;2,"Alerta",IF(VLOOKUP(BK21,Fundamentus!A:U,20,FALSE)&gt;2,"Alta","n/a"))))</f>
        <v>Alerta</v>
      </c>
    </row>
    <row r="22" spans="1:161" s="5" customFormat="1" ht="11.25" hidden="1"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8">
        <v>11.86</v>
      </c>
      <c r="BC22" s="62">
        <v>12.42</v>
      </c>
      <c r="BD22" s="62">
        <v>12.4</v>
      </c>
      <c r="BE22" s="62">
        <v>12.67</v>
      </c>
      <c r="BF22" s="62">
        <v>12.48</v>
      </c>
      <c r="BG22" s="81">
        <v>12.39</v>
      </c>
      <c r="BH22" s="62">
        <v>12.41</v>
      </c>
      <c r="BI22" s="62">
        <v>12.24</v>
      </c>
      <c r="BJ22" s="62" cm="1">
        <f t="array" aca="1" ref="BJ22" ca="1">_FV(EH22,"Preço")</f>
        <v>12.28</v>
      </c>
      <c r="BK22" s="83" t="s">
        <v>19</v>
      </c>
      <c r="BL22" s="44" cm="1">
        <f t="array" aca="1" ref="BL22" ca="1">_FV(EH22,"Média de volume",TRUE)</f>
        <v>12275230</v>
      </c>
      <c r="BM22" s="44">
        <v>14235000</v>
      </c>
      <c r="BN22" s="44" cm="1">
        <f t="array" aca="1" ref="BN22" ca="1">_FV(EH22,"Volume")</f>
        <v>5431900</v>
      </c>
      <c r="BO22" s="32" cm="1">
        <f t="array" aca="1" ref="BO22" ca="1">_FV(EH22,"Beta")</f>
        <v>0.85650000000000004</v>
      </c>
      <c r="BP22" s="86" cm="1">
        <f t="array" aca="1" ref="BP22" ca="1">_FV(EH22,"Variação (%)",TRUE)</f>
        <v>3.2679999999999996E-3</v>
      </c>
      <c r="BQ22" s="48"/>
      <c r="BR22" s="48"/>
      <c r="BT22" s="20" cm="1">
        <f t="array" aca="1" ref="BT22" ca="1">_FV(EH22,"Baixo")</f>
        <v>12.13</v>
      </c>
      <c r="BU22" s="20" cm="1">
        <f t="array" aca="1" ref="BU22" ca="1">_FV(EH22,"Alto")</f>
        <v>12.37</v>
      </c>
      <c r="BV22" s="32"/>
      <c r="BW22" s="73">
        <f ca="1">SQRT(22.5*(BJ22/VLOOKUP(BK22,Fundamentus!A:U,3,FALSE))*(BJ22/VLOOKUP(BK22,Fundamentus!A:U,4,FALSE)))</f>
        <v>13.847080169760329</v>
      </c>
      <c r="BY22" s="72">
        <f t="shared" ca="1" si="0"/>
        <v>3.2679738562090806E-3</v>
      </c>
      <c r="BZ22" s="8"/>
      <c r="CA22" s="71">
        <f t="shared" si="36"/>
        <v>8.76</v>
      </c>
      <c r="CB22" s="71">
        <f t="shared" si="1"/>
        <v>12.67</v>
      </c>
      <c r="CC22" s="71">
        <f t="shared" si="37"/>
        <v>10.226557377049177</v>
      </c>
      <c r="CD22" s="17"/>
      <c r="CE22" s="43">
        <f t="shared" si="19"/>
        <v>12.030071443154682</v>
      </c>
      <c r="CF22" s="18">
        <f>FORECAST("04/07/2025", BF22:BI22, $BF$5:$BI$5)</f>
        <v>12.205000000000041</v>
      </c>
      <c r="CG22" s="43">
        <f t="shared" si="20"/>
        <v>12.3799285568454</v>
      </c>
      <c r="CI22" s="17"/>
      <c r="CJ22" s="20">
        <f>CA22-2*(CB22-CM22)</f>
        <v>5.8666666666666689</v>
      </c>
      <c r="CK22" s="20">
        <f>CM22-(CB22-CA22)</f>
        <v>7.3133333333333344</v>
      </c>
      <c r="CL22" s="20">
        <f>2*CM22-CB22</f>
        <v>9.7766666666666691</v>
      </c>
      <c r="CM22" s="48">
        <f>(CB22+CA22+BI22)/3</f>
        <v>11.223333333333334</v>
      </c>
      <c r="CN22" s="20">
        <f>2*CM22-CA22</f>
        <v>13.686666666666669</v>
      </c>
      <c r="CO22" s="20">
        <f>CM22+(CB22-CA22)</f>
        <v>15.133333333333335</v>
      </c>
      <c r="CP22" s="20">
        <f>CB22+2*(CM22-CA22)</f>
        <v>17.596666666666671</v>
      </c>
      <c r="CQ22" s="2" cm="1">
        <f t="array" aca="1" ref="CQ22" ca="1">MAX(_xlfn._xlws.FILTER(CJ22:CP22,CJ22:CP22&lt;BJ22))</f>
        <v>11.223333333333334</v>
      </c>
      <c r="CR22" s="2" cm="1">
        <f t="array" aca="1" ref="CR22" ca="1">MIN(_xlfn._xlws.FILTER($CJ22:$CP22,$CJ22:$CP22&gt;BJ22))</f>
        <v>13.686666666666669</v>
      </c>
      <c r="CS22" s="19">
        <f t="shared" ca="1" si="55"/>
        <v>0.21948321948321969</v>
      </c>
      <c r="CT22" s="23">
        <f t="shared" ca="1" si="56"/>
        <v>-0.10974160974160985</v>
      </c>
      <c r="CU22" s="23">
        <f t="shared" ca="1" si="57"/>
        <v>-7.3161073161073231E-2</v>
      </c>
      <c r="CV22" s="23">
        <f t="shared" ca="1" si="58"/>
        <v>-4.3896643896643939E-2</v>
      </c>
      <c r="CW22" s="23">
        <f t="shared" ca="1" si="59"/>
        <v>-2.4387024387024409E-2</v>
      </c>
      <c r="CX22" s="23">
        <f t="shared" ca="1" si="60"/>
        <v>-1.2910777616659982E-2</v>
      </c>
      <c r="CY22" s="23">
        <f t="shared" ca="1" si="61"/>
        <v>-6.6510066510066575E-3</v>
      </c>
      <c r="CZ22" s="23">
        <f t="shared" ca="1" si="62"/>
        <v>-3.376664915126457E-3</v>
      </c>
      <c r="DA22" s="24">
        <f t="shared" ca="1" si="63"/>
        <v>3.376664915126457E-3</v>
      </c>
      <c r="DB22" s="24">
        <f t="shared" ca="1" si="64"/>
        <v>6.6510066510066575E-3</v>
      </c>
      <c r="DC22" s="24">
        <f t="shared" ca="1" si="65"/>
        <v>1.2910777616659982E-2</v>
      </c>
      <c r="DD22" s="24">
        <f t="shared" ca="1" si="66"/>
        <v>2.4387024387024409E-2</v>
      </c>
      <c r="DE22" s="24">
        <f t="shared" ca="1" si="67"/>
        <v>4.3896643896643939E-2</v>
      </c>
      <c r="DF22" s="24">
        <f t="shared" ca="1" si="68"/>
        <v>7.3161073161073231E-2</v>
      </c>
      <c r="DG22" s="24">
        <f t="shared" ca="1" si="69"/>
        <v>0.10974160974160985</v>
      </c>
      <c r="DI22" s="19" cm="1">
        <f t="array" aca="1" ref="DI22" ca="1">MAX(_xlfn._xlws.FILTER(CT22:DG22,CT22:DG22&lt;BP22))</f>
        <v>-3.376664915126457E-3</v>
      </c>
      <c r="DJ22" s="19" cm="1">
        <f t="array" aca="1" ref="DJ22" ca="1">MIN(_xlfn._xlws.FILTER(CT22:DG22,CT22:DG22&gt;BP22))</f>
        <v>3.376664915126457E-3</v>
      </c>
      <c r="DK22" s="2" cm="1">
        <f t="array" aca="1" ref="DK22" ca="1">_FV(EH22,"Fechamento anterior",TRUE)</f>
        <v>12.24</v>
      </c>
      <c r="DL22" s="36">
        <f ca="1">(BJ22-DM22)/(DN22-DM22)</f>
        <v>0.98390556041992483</v>
      </c>
      <c r="DM22" s="18">
        <f t="shared" ca="1" si="70"/>
        <v>12.198669621438853</v>
      </c>
      <c r="DN22" s="18">
        <f t="shared" ca="1" si="71"/>
        <v>12.281330378561147</v>
      </c>
      <c r="DO22" s="9"/>
      <c r="DP22" s="9"/>
      <c r="DQ22" s="94">
        <v>5.5638089373662974E-3</v>
      </c>
      <c r="DR22" s="94">
        <v>6.0024938728124866E-3</v>
      </c>
      <c r="DS22" s="94">
        <v>3.3259860580972353E-3</v>
      </c>
      <c r="DT22" s="94">
        <f t="shared" ca="1" si="12"/>
        <v>6.7533298302529139E-3</v>
      </c>
      <c r="DU22" s="87">
        <f ca="1">(BJ22-CF22)/(CF22-CE22)</f>
        <v>0.42874646285603529</v>
      </c>
      <c r="DV22" s="46"/>
      <c r="DW22" s="43">
        <f>_xlfn.STDEV.P(BF22:BI22)</f>
        <v>8.7464278422679564E-2</v>
      </c>
      <c r="DX22" s="76">
        <f ca="1">BO22-$DT$2</f>
        <v>-0.14060000000000006</v>
      </c>
      <c r="DY22" s="76">
        <f ca="1">BO22-BP22*100</f>
        <v>0.52970000000000006</v>
      </c>
      <c r="DZ22" s="101"/>
      <c r="EA22" s="100">
        <v>1.4873000000000003</v>
      </c>
      <c r="EB22" s="107">
        <v>-1.5772000000000004</v>
      </c>
      <c r="EC22" s="107">
        <v>-1.8206999999999998</v>
      </c>
      <c r="ED22" s="98">
        <f t="shared" ca="1" si="13"/>
        <v>-0.67030000000000012</v>
      </c>
      <c r="EE22" s="66"/>
      <c r="EF22" s="66"/>
      <c r="EH22" s="5" t="e" vm="22">
        <v>#VALUE!</v>
      </c>
      <c r="EJ22" s="10" cm="1">
        <f t="array" aca="1" ref="EJ22" ca="1">_FV(EH22,"Ações em circulação",TRUE)</f>
        <v>2982811000</v>
      </c>
      <c r="EK22" s="21">
        <f>VLOOKUP(BK22,Fundamentus!A:U,5,FALSE)</f>
        <v>1.5980000000000001</v>
      </c>
      <c r="EL22" s="2">
        <f ca="1">(BJ22*EJ22)/EK22</f>
        <v>22921726583.229034</v>
      </c>
      <c r="EM22" s="20">
        <v>2894722879.4042554</v>
      </c>
      <c r="EN22" s="20">
        <f t="shared" ca="1" si="14"/>
        <v>2904182758.095119</v>
      </c>
      <c r="EO22" s="2"/>
      <c r="EP22" s="19">
        <f t="shared" ca="1" si="15"/>
        <v>3.2679738562091387E-3</v>
      </c>
      <c r="EQ22" s="40" t="str">
        <f>IF(VLOOKUP(BK22,Fundamentus!A:U,3,FALSE)&lt;15,"Bom",IF(VLOOKUP(BK22,Fundamentus!A:U,3,FALSE)&gt;15,"Ruim","n/a"))</f>
        <v>Bom</v>
      </c>
      <c r="ER22" s="36" t="str">
        <f>IF(VLOOKUP(BK22,Fundamentus!A:U,4,FALSE)&lt;1,"Baixo",IF(VLOOKUP(BK22,Fundamentus!A:U,4,FALSE)&lt;1.5,"Moderado",IF(VLOOKUP(BK22,Fundamentus!A:U,4,FALSE)&gt;1.5,"Alto","n/a")))</f>
        <v>Moderado</v>
      </c>
      <c r="ES22" s="20" t="str">
        <f>IF(VLOOKUP(BK22,Fundamentus!A:U,8,FALSE)&lt;0,"Risco elevado",IF(VLOOKUP(BK22,Fundamentus!A:U,8,FALSE)&lt;1,"Saudável",IF(VLOOKUP(BK22,Fundamentus!A:U,8,FALSE)&lt;3,"Estável",IF(VLOOKUP(BK22,Fundamentus!A:U,8,FALSE)&gt;3,"Alerta","n/a"))))</f>
        <v>Alerta</v>
      </c>
      <c r="ET22" s="36" t="str">
        <f t="shared" si="16"/>
        <v>Bom</v>
      </c>
      <c r="EU22" s="20" t="str">
        <f>IF(VLOOKUP(BK22,Fundamentus!A:U,12,FALSE)&lt;2,"Subvalorizada",IF(VLOOKUP(BK22,Fundamentus!A:U,12,FALSE)&lt;6,"Muita barata",IF(VLOOKUP(BK22,Fundamentus!A:U,12,FALSE)&lt;6,"Barata",IF(VLOOKUP(BK22,Fundamentus!A:U,12,FALSE)&lt;8,"Atrativa",IF(VLOOKUP(BK22,Fundamentus!A:U,12,FALSE)&gt;8,"Supervalorizada","n/a")))))</f>
        <v>Supervalorizada</v>
      </c>
      <c r="EV22" s="2"/>
      <c r="EW22" s="20" t="str">
        <f>IF(VLOOKUP(BK22,Fundamentus!A:U,17,FALSE)&lt;0.1,"Fraco retorno",IF(VLOOKUP(BK22,Fundamentus!A:U,17,FALSE)&gt;0.1,"Bom retorno","n/a"))</f>
        <v>Bom retorno</v>
      </c>
      <c r="EX22" s="20" t="str">
        <f>IF(VLOOKUP(BK22,Fundamentus!A:U,16,FALSE)&lt;0.1,"Ineficiente",IF(VLOOKUP(BK22,Fundamentus!A:U,16,FALSE)&gt;0.1,"Eficiente","n/a"))</f>
        <v>Ineficiente</v>
      </c>
      <c r="EY22" s="41" t="str">
        <f>IF(VLOOKUP(BK22,Fundamentus!A:U,16,FALSE)&lt;0.1,"Oper. Ineficiente",IF(VLOOKUP(BK22,Fundamentus!A:U,16,FALSE)&gt;0.1,"Oper.Eficiente","n/a"))</f>
        <v>Oper. Ineficiente</v>
      </c>
      <c r="EZ22" s="42">
        <f>VLOOKUP(BK22,Fundamentus!A:U,14,FALSE)</f>
        <v>0.12670000000000001</v>
      </c>
      <c r="FA22" s="20" t="str">
        <f>IF(VLOOKUP(BK22,Fundamentus!A:U,21,FALSE)&lt;0,"Negativo",IF(VLOOKUP(BK22,Fundamentus!A:U,21,FALSE)&lt;0.05,"Fraco",IF(VLOOKUP(BK22,Fundamentus!A:U,21,FALSE)&lt;0.1,"Bom",IF(VLOOKUP(BK22,Fundamentus!A:U,21,FALSE)&gt;0.1,"Muito bom","n/a"))))</f>
        <v>Fraco</v>
      </c>
      <c r="FC22" s="37" t="str">
        <f>IF(VLOOKUP(BK22,Fundamentus!A:U,15,FALSE)&gt;1,"Bom",IF(VLOOKUP(BK22,Fundamentus!A:U,15,FALSE)&lt;1,"Ruim","n/a"))</f>
        <v>Bom</v>
      </c>
      <c r="FD22" s="20" t="str">
        <f>IF(VLOOKUP(BK22,Fundamentus!A:U,20,FALSE)&lt;0.5,"Baixa",IF(VLOOKUP(BK22,Fundamentus!A:U,20,FALSE)&lt;1,"Moderada",IF(VLOOKUP(BK22,Fundamentus!A:U,20,FALSE)&lt;2,"Alerta",IF(VLOOKUP(BK22,Fundamentus!A:U,20,FALSE)&gt;2,"Alta","n/a"))))</f>
        <v>Moderada</v>
      </c>
    </row>
    <row r="23" spans="1:161" s="2" customFormat="1" ht="11.25" hidden="1"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8">
        <v>20.12</v>
      </c>
      <c r="BC23" s="62">
        <v>20.7</v>
      </c>
      <c r="BD23" s="62">
        <v>20.95</v>
      </c>
      <c r="BE23" s="62">
        <v>20.95</v>
      </c>
      <c r="BF23" s="62">
        <v>21</v>
      </c>
      <c r="BG23" s="81">
        <v>21.1</v>
      </c>
      <c r="BH23" s="62">
        <v>20.72</v>
      </c>
      <c r="BI23" s="62">
        <v>21</v>
      </c>
      <c r="BJ23" s="62" cm="1">
        <f t="array" aca="1" ref="BJ23" ca="1">_FV(EH23,"Preço")</f>
        <v>21.05</v>
      </c>
      <c r="BK23" s="83" t="s">
        <v>20</v>
      </c>
      <c r="BL23" s="44" cm="1">
        <f t="array" aca="1" ref="BL23" ca="1">_FV(EH23,"Média de volume",TRUE)</f>
        <v>5630</v>
      </c>
      <c r="BM23" s="44">
        <v>15100</v>
      </c>
      <c r="BN23" s="44" cm="1">
        <f t="array" aca="1" ref="BN23" ca="1">_FV(EH23,"Volume")</f>
        <v>3200</v>
      </c>
      <c r="BO23" s="32" cm="1">
        <f t="array" aca="1" ref="BO23" ca="1">_FV(EH23,"Beta")</f>
        <v>0.69299999999999995</v>
      </c>
      <c r="BP23" s="86" cm="1">
        <f t="array" aca="1" ref="BP23" ca="1">_FV(EH23,"Variação (%)",TRUE)</f>
        <v>2.3809999999999999E-3</v>
      </c>
      <c r="BQ23" s="48"/>
      <c r="BR23" s="48"/>
      <c r="BT23" s="20" cm="1">
        <f t="array" aca="1" ref="BT23" ca="1">_FV(EH23,"Baixo")</f>
        <v>20.79</v>
      </c>
      <c r="BU23" s="20" cm="1">
        <f t="array" aca="1" ref="BU23" ca="1">_FV(EH23,"Alto")</f>
        <v>21.3</v>
      </c>
      <c r="BV23" s="32"/>
      <c r="BW23" s="73">
        <f ca="1">SQRT(22.5*(BJ23/VLOOKUP(BK23,Fundamentus!A:U,3,FALSE))*(BJ23/VLOOKUP(BK23,Fundamentus!A:U,4,FALSE)))</f>
        <v>29.489004906982181</v>
      </c>
      <c r="BY23" s="72">
        <f t="shared" ca="1" si="0"/>
        <v>2.380952380952415E-3</v>
      </c>
      <c r="BZ23" s="8"/>
      <c r="CA23" s="71">
        <f t="shared" si="36"/>
        <v>16.8</v>
      </c>
      <c r="CB23" s="71">
        <f t="shared" si="1"/>
        <v>22.9</v>
      </c>
      <c r="CC23" s="71">
        <f t="shared" si="37"/>
        <v>18.983852459016386</v>
      </c>
      <c r="CD23" s="17"/>
      <c r="CE23" s="43">
        <f t="shared" si="19"/>
        <v>20.576627453693916</v>
      </c>
      <c r="CF23" s="18">
        <f>FORECAST("04/07/2025", BF23:BI23, $BF$5:$BI$5)</f>
        <v>20.860000000000014</v>
      </c>
      <c r="CG23" s="43">
        <f t="shared" si="20"/>
        <v>21.143372546306111</v>
      </c>
      <c r="CI23" s="17"/>
      <c r="CJ23" s="20">
        <f>CA23-2*(CB23-CM23)</f>
        <v>11.466666666666672</v>
      </c>
      <c r="CK23" s="20">
        <f>CM23-(CB23-CA23)</f>
        <v>14.133333333333336</v>
      </c>
      <c r="CL23" s="20">
        <f>2*CM23-CB23</f>
        <v>17.56666666666667</v>
      </c>
      <c r="CM23" s="48">
        <f>(CB23+CA23+BI23)/3</f>
        <v>20.233333333333334</v>
      </c>
      <c r="CN23" s="20">
        <f>2*CM23-CA23</f>
        <v>23.666666666666668</v>
      </c>
      <c r="CO23" s="20">
        <f>CM23+(CB23-CA23)</f>
        <v>26.333333333333332</v>
      </c>
      <c r="CP23" s="20">
        <f>CB23+2*(CM23-CA23)</f>
        <v>29.766666666666666</v>
      </c>
      <c r="CQ23" s="2" cm="1">
        <f t="array" aca="1" ref="CQ23" ca="1">MAX(_xlfn._xlws.FILTER(CJ23:CP23,CJ23:CP23&lt;BJ23))</f>
        <v>20.233333333333334</v>
      </c>
      <c r="CR23" s="2" cm="1">
        <f t="array" aca="1" ref="CR23" ca="1">MIN(_xlfn._xlws.FILTER($CJ23:$CP23,$CJ23:$CP23&gt;BJ23))</f>
        <v>23.666666666666668</v>
      </c>
      <c r="CS23" s="19">
        <f t="shared" ca="1" si="55"/>
        <v>0.16968698517298186</v>
      </c>
      <c r="CT23" s="23">
        <f t="shared" ca="1" si="56"/>
        <v>-8.4843492586490932E-2</v>
      </c>
      <c r="CU23" s="23">
        <f t="shared" ca="1" si="57"/>
        <v>-5.6562328390993954E-2</v>
      </c>
      <c r="CV23" s="23">
        <f t="shared" ca="1" si="58"/>
        <v>-3.3937397034596375E-2</v>
      </c>
      <c r="CW23" s="23">
        <f t="shared" ca="1" si="59"/>
        <v>-1.8854109463664653E-2</v>
      </c>
      <c r="CX23" s="23">
        <f t="shared" ca="1" si="60"/>
        <v>-9.9815873631165803E-3</v>
      </c>
      <c r="CY23" s="23">
        <f t="shared" ca="1" si="61"/>
        <v>-5.1420298537267232E-3</v>
      </c>
      <c r="CZ23" s="23">
        <f t="shared" ca="1" si="62"/>
        <v>-2.6105690026612593E-3</v>
      </c>
      <c r="DA23" s="24">
        <f t="shared" ca="1" si="63"/>
        <v>2.6105690026612593E-3</v>
      </c>
      <c r="DB23" s="24">
        <f t="shared" ca="1" si="64"/>
        <v>5.1420298537267232E-3</v>
      </c>
      <c r="DC23" s="24">
        <f t="shared" ca="1" si="65"/>
        <v>9.9815873631165803E-3</v>
      </c>
      <c r="DD23" s="24">
        <f t="shared" ca="1" si="66"/>
        <v>1.8854109463664653E-2</v>
      </c>
      <c r="DE23" s="24">
        <f t="shared" ca="1" si="67"/>
        <v>3.3937397034596375E-2</v>
      </c>
      <c r="DF23" s="24">
        <f t="shared" ca="1" si="68"/>
        <v>5.6562328390993954E-2</v>
      </c>
      <c r="DG23" s="24">
        <f t="shared" ca="1" si="69"/>
        <v>8.4843492586490932E-2</v>
      </c>
      <c r="DI23" s="19" cm="1">
        <f t="array" aca="1" ref="DI23" ca="1">MAX(_xlfn._xlws.FILTER(CT23:DG23,CT23:DG23&lt;BP23))</f>
        <v>-2.6105690026612593E-3</v>
      </c>
      <c r="DJ23" s="19" cm="1">
        <f t="array" aca="1" ref="DJ23" ca="1">MIN(_xlfn._xlws.FILTER(CT23:DG23,CT23:DG23&gt;BP23))</f>
        <v>2.6105690026612593E-3</v>
      </c>
      <c r="DK23" s="2" cm="1">
        <f t="array" aca="1" ref="DK23" ca="1">_FV(EH23,"Fechamento anterior",TRUE)</f>
        <v>21</v>
      </c>
      <c r="DL23" s="36">
        <f ca="1">(BJ23-DM23)/(DN23-DM23)</f>
        <v>0.95602172908000005</v>
      </c>
      <c r="DM23" s="18">
        <f t="shared" ca="1" si="70"/>
        <v>20.945178050944115</v>
      </c>
      <c r="DN23" s="18">
        <f t="shared" ca="1" si="71"/>
        <v>21.054821949055885</v>
      </c>
      <c r="DO23" s="9"/>
      <c r="DP23" s="9"/>
      <c r="DQ23" s="94">
        <v>5.9965593511919386E-3</v>
      </c>
      <c r="DR23" s="94">
        <v>1.0190231577188916E-2</v>
      </c>
      <c r="DS23" s="94">
        <v>1.5204678362573096E-2</v>
      </c>
      <c r="DT23" s="94">
        <f t="shared" ca="1" si="12"/>
        <v>5.2211380053225186E-3</v>
      </c>
      <c r="DU23" s="87">
        <f ca="1">(BJ23-CF23)/(CF23-CE23)</f>
        <v>0.67049543957850555</v>
      </c>
      <c r="DV23" s="46"/>
      <c r="DW23" s="43">
        <f>_xlfn.STDEV.P(BF23:BI23)</f>
        <v>0.14168627315304838</v>
      </c>
      <c r="DX23" s="76">
        <f ca="1">BO23-$DT$2</f>
        <v>-0.30410000000000015</v>
      </c>
      <c r="DY23" s="76">
        <f ca="1">BO23-BP23*100</f>
        <v>0.45489999999999997</v>
      </c>
      <c r="DZ23" s="101"/>
      <c r="EA23" s="100">
        <v>0.39495000000000013</v>
      </c>
      <c r="EB23" s="107">
        <v>0.85729999999999995</v>
      </c>
      <c r="EC23" s="107">
        <v>0.41959999999999992</v>
      </c>
      <c r="ED23" s="98">
        <f t="shared" ca="1" si="13"/>
        <v>-0.75900000000000012</v>
      </c>
      <c r="EE23" s="66"/>
      <c r="EF23" s="66"/>
      <c r="EH23" s="2" t="e" vm="23">
        <v>#VALUE!</v>
      </c>
      <c r="EJ23" s="10" cm="1">
        <f t="array" aca="1" ref="EJ23" ca="1">_FV(EH23,"Ações em circulação",TRUE)</f>
        <v>72081910</v>
      </c>
      <c r="EK23" s="21">
        <f>VLOOKUP(BK23,Fundamentus!A:U,5,FALSE)</f>
        <v>3.8929999999999998</v>
      </c>
      <c r="EL23" s="2">
        <f ca="1">(BJ23*EJ23)/EK23</f>
        <v>389757052.53018242</v>
      </c>
      <c r="EM23" s="20">
        <v>234231953.3172361</v>
      </c>
      <c r="EN23" s="20">
        <f t="shared" ca="1" si="14"/>
        <v>234789648.44418192</v>
      </c>
      <c r="EP23" s="19">
        <f t="shared" ca="1" si="15"/>
        <v>2.3809523809523725E-3</v>
      </c>
      <c r="EQ23" s="40" t="str">
        <f>IF(VLOOKUP(BK23,Fundamentus!A:U,3,FALSE)&lt;15,"Bom",IF(VLOOKUP(BK23,Fundamentus!A:U,3,FALSE)&gt;15,"Ruim","n/a"))</f>
        <v>Bom</v>
      </c>
      <c r="ER23" s="36" t="str">
        <f>IF(VLOOKUP(BK23,Fundamentus!A:U,4,FALSE)&lt;1,"Baixo",IF(VLOOKUP(BK23,Fundamentus!A:U,4,FALSE)&lt;1.5,"Moderado",IF(VLOOKUP(BK23,Fundamentus!A:U,4,FALSE)&gt;1.5,"Alto","n/a")))</f>
        <v>Moderado</v>
      </c>
      <c r="ES23" s="20" t="str">
        <f>IF(VLOOKUP(BK23,Fundamentus!A:U,8,FALSE)&lt;0,"Risco elevado",IF(VLOOKUP(BK23,Fundamentus!A:U,8,FALSE)&lt;1,"Saudável",IF(VLOOKUP(BK23,Fundamentus!A:U,8,FALSE)&lt;3,"Estável",IF(VLOOKUP(BK23,Fundamentus!A:U,8,FALSE)&gt;3,"Alerta","n/a"))))</f>
        <v>Estável</v>
      </c>
      <c r="ET23" s="36" t="str">
        <f t="shared" si="16"/>
        <v>Bom</v>
      </c>
      <c r="EU23" s="20" t="str">
        <f>IF(VLOOKUP(BK23,Fundamentus!A:U,12,FALSE)&lt;2,"Subvalorizada",IF(VLOOKUP(BK23,Fundamentus!A:U,12,FALSE)&lt;6,"Muita barata",IF(VLOOKUP(BK23,Fundamentus!A:U,12,FALSE)&lt;6,"Barata",IF(VLOOKUP(BK23,Fundamentus!A:U,12,FALSE)&lt;8,"Atrativa",IF(VLOOKUP(BK23,Fundamentus!A:U,12,FALSE)&gt;8,"Supervalorizada","n/a")))))</f>
        <v>Muita barata</v>
      </c>
      <c r="EW23" s="20" t="str">
        <f>IF(VLOOKUP(BK23,Fundamentus!A:U,17,FALSE)&lt;0.1,"Fraco retorno",IF(VLOOKUP(BK23,Fundamentus!A:U,17,FALSE)&gt;0.1,"Bom retorno","n/a"))</f>
        <v>Bom retorno</v>
      </c>
      <c r="EX23" s="20" t="str">
        <f>IF(VLOOKUP(BK23,Fundamentus!A:U,16,FALSE)&lt;0.1,"Ineficiente",IF(VLOOKUP(BK23,Fundamentus!A:U,16,FALSE)&gt;0.1,"Eficiente","n/a"))</f>
        <v>Eficiente</v>
      </c>
      <c r="EY23" s="41" t="str">
        <f>IF(VLOOKUP(BK23,Fundamentus!A:U,16,FALSE)&lt;0.1,"Oper. Ineficiente",IF(VLOOKUP(BK23,Fundamentus!A:U,16,FALSE)&gt;0.1,"Oper.Eficiente","n/a"))</f>
        <v>Oper.Eficiente</v>
      </c>
      <c r="EZ23" s="42">
        <f>VLOOKUP(BK23,Fundamentus!A:U,14,FALSE)</f>
        <v>0.60240000000000005</v>
      </c>
      <c r="FA23" s="20" t="str">
        <f>IF(VLOOKUP(BK23,Fundamentus!A:U,21,FALSE)&lt;0,"Negativo",IF(VLOOKUP(BK23,Fundamentus!A:U,21,FALSE)&lt;0.05,"Fraco",IF(VLOOKUP(BK23,Fundamentus!A:U,21,FALSE)&lt;0.1,"Bom",IF(VLOOKUP(BK23,Fundamentus!A:U,21,FALSE)&gt;0.1,"Muito bom","n/a"))))</f>
        <v>Fraco</v>
      </c>
      <c r="FC23" s="37" t="str">
        <f>IF(VLOOKUP(BK23,Fundamentus!A:U,15,FALSE)&gt;1,"Bom",IF(VLOOKUP(BK23,Fundamentus!A:U,15,FALSE)&lt;1,"Ruim","n/a"))</f>
        <v>Bom</v>
      </c>
      <c r="FD23" s="20" t="str">
        <f>IF(VLOOKUP(BK23,Fundamentus!A:U,20,FALSE)&lt;0.5,"Baixa",IF(VLOOKUP(BK23,Fundamentus!A:U,20,FALSE)&lt;1,"Moderada",IF(VLOOKUP(BK23,Fundamentus!A:U,20,FALSE)&lt;2,"Alerta",IF(VLOOKUP(BK23,Fundamentus!A:U,20,FALSE)&gt;2,"Alta","n/a"))))</f>
        <v>Baixa</v>
      </c>
    </row>
    <row r="24" spans="1:161" s="2" customFormat="1" ht="11.25" hidden="1"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8">
        <v>16.34</v>
      </c>
      <c r="BC24" s="62">
        <v>16.93</v>
      </c>
      <c r="BD24" s="62">
        <v>16.46</v>
      </c>
      <c r="BE24" s="62">
        <v>16</v>
      </c>
      <c r="BF24" s="62">
        <v>15.89</v>
      </c>
      <c r="BG24" s="81">
        <v>15.11</v>
      </c>
      <c r="BH24" s="62">
        <v>15.01</v>
      </c>
      <c r="BI24" s="62">
        <v>14.62</v>
      </c>
      <c r="BJ24" s="62" cm="1">
        <f t="array" aca="1" ref="BJ24" ca="1">_FV(EH24,"Preço")</f>
        <v>15.24</v>
      </c>
      <c r="BK24" s="83" t="s">
        <v>21</v>
      </c>
      <c r="BL24" s="44" cm="1">
        <f t="array" aca="1" ref="BL24" ca="1">_FV(EH24,"Média de volume",TRUE)</f>
        <v>234410</v>
      </c>
      <c r="BM24" s="44">
        <v>363500</v>
      </c>
      <c r="BN24" s="44" cm="1">
        <f t="array" aca="1" ref="BN24" ca="1">_FV(EH24,"Volume")</f>
        <v>135900</v>
      </c>
      <c r="BO24" s="32" cm="1">
        <f t="array" aca="1" ref="BO24" ca="1">_FV(EH24,"Beta")</f>
        <v>1.0721000000000001</v>
      </c>
      <c r="BP24" s="86" cm="1">
        <f t="array" aca="1" ref="BP24" ca="1">_FV(EH24,"Variação (%)",TRUE)</f>
        <v>4.2408000000000001E-2</v>
      </c>
      <c r="BQ24" s="48"/>
      <c r="BR24" s="48"/>
      <c r="BT24" s="20" cm="1">
        <f t="array" aca="1" ref="BT24" ca="1">_FV(EH24,"Baixo")</f>
        <v>14.58</v>
      </c>
      <c r="BU24" s="20" cm="1">
        <f t="array" aca="1" ref="BU24" ca="1">_FV(EH24,"Alto")</f>
        <v>15.32</v>
      </c>
      <c r="BV24" s="32"/>
      <c r="BW24" s="73">
        <f ca="1">SQRT(22.5*(BJ24/VLOOKUP(BK24,Fundamentus!A:U,3,FALSE))*(BJ24/VLOOKUP(BK24,Fundamentus!A:U,4,FALSE)))</f>
        <v>6.1227262051837821</v>
      </c>
      <c r="BY24" s="72">
        <f t="shared" ca="1" si="0"/>
        <v>4.2407660738714159E-2</v>
      </c>
      <c r="BZ24" s="8"/>
      <c r="CA24" s="71">
        <f t="shared" si="36"/>
        <v>10.19</v>
      </c>
      <c r="CB24" s="71">
        <f t="shared" si="1"/>
        <v>17.649999999999999</v>
      </c>
      <c r="CC24" s="71">
        <f t="shared" si="37"/>
        <v>13.952377049180328</v>
      </c>
      <c r="CD24" s="17"/>
      <c r="CE24" s="43">
        <f t="shared" si="19"/>
        <v>13.258330319474323</v>
      </c>
      <c r="CF24" s="18">
        <f>FORECAST("04/07/2025", BF24:BI24, $BF$5:$BI$5)</f>
        <v>14.179999999999836</v>
      </c>
      <c r="CG24" s="43">
        <f t="shared" si="20"/>
        <v>15.101669680525349</v>
      </c>
      <c r="CI24" s="17"/>
      <c r="CJ24" s="20">
        <f>CA24-2*(CB24-CM24)</f>
        <v>3.1966666666666637</v>
      </c>
      <c r="CK24" s="20">
        <f>CM24-(CB24-CA24)</f>
        <v>6.6933333333333316</v>
      </c>
      <c r="CL24" s="20">
        <f>2*CM24-CB24</f>
        <v>10.656666666666663</v>
      </c>
      <c r="CM24" s="48">
        <f>(CB24+CA24+BI24)/3</f>
        <v>14.153333333333331</v>
      </c>
      <c r="CN24" s="20">
        <f>2*CM24-CA24</f>
        <v>18.11666666666666</v>
      </c>
      <c r="CO24" s="20">
        <f>CM24+(CB24-CA24)</f>
        <v>21.61333333333333</v>
      </c>
      <c r="CP24" s="20">
        <f>CB24+2*(CM24-CA24)</f>
        <v>25.576666666666661</v>
      </c>
      <c r="CQ24" s="2" cm="1">
        <f t="array" aca="1" ref="CQ24" ca="1">MAX(_xlfn._xlws.FILTER(CJ24:CP24,CJ24:CP24&lt;BJ24))</f>
        <v>14.153333333333331</v>
      </c>
      <c r="CR24" s="2" cm="1">
        <f t="array" aca="1" ref="CR24" ca="1">MIN(_xlfn._xlws.FILTER($CJ24:$CP24,$CJ24:$CP24&gt;BJ24))</f>
        <v>18.11666666666666</v>
      </c>
      <c r="CS24" s="19">
        <f t="shared" ca="1" si="55"/>
        <v>0.28002826189354657</v>
      </c>
      <c r="CT24" s="23">
        <f t="shared" ca="1" si="56"/>
        <v>-0.14001413094677329</v>
      </c>
      <c r="CU24" s="23">
        <f t="shared" ca="1" si="57"/>
        <v>-9.3342753964515524E-2</v>
      </c>
      <c r="CV24" s="23">
        <f t="shared" ca="1" si="58"/>
        <v>-5.6005652378709317E-2</v>
      </c>
      <c r="CW24" s="23">
        <f t="shared" ca="1" si="59"/>
        <v>-3.1114251321505176E-2</v>
      </c>
      <c r="CX24" s="23">
        <f t="shared" ca="1" si="60"/>
        <v>-1.6472250699620387E-2</v>
      </c>
      <c r="CY24" s="23">
        <f t="shared" ca="1" si="61"/>
        <v>-8.4857049058650481E-3</v>
      </c>
      <c r="CZ24" s="23">
        <f t="shared" ca="1" si="62"/>
        <v>-4.3081271060545628E-3</v>
      </c>
      <c r="DA24" s="24">
        <f t="shared" ca="1" si="63"/>
        <v>4.3081271060545628E-3</v>
      </c>
      <c r="DB24" s="24">
        <f t="shared" ca="1" si="64"/>
        <v>8.4857049058650481E-3</v>
      </c>
      <c r="DC24" s="24">
        <f t="shared" ca="1" si="65"/>
        <v>1.6472250699620387E-2</v>
      </c>
      <c r="DD24" s="24">
        <f t="shared" ca="1" si="66"/>
        <v>3.1114251321505176E-2</v>
      </c>
      <c r="DE24" s="24">
        <f t="shared" ca="1" si="67"/>
        <v>5.6005652378709317E-2</v>
      </c>
      <c r="DF24" s="24">
        <f t="shared" ca="1" si="68"/>
        <v>9.3342753964515524E-2</v>
      </c>
      <c r="DG24" s="24">
        <f t="shared" ca="1" si="69"/>
        <v>0.14001413094677329</v>
      </c>
      <c r="DI24" s="19" cm="1">
        <f t="array" aca="1" ref="DI24" ca="1">MAX(_xlfn._xlws.FILTER(CT24:DG24,CT24:DG24&lt;BP24))</f>
        <v>3.1114251321505176E-2</v>
      </c>
      <c r="DJ24" s="19" cm="1">
        <f t="array" aca="1" ref="DJ24" ca="1">MIN(_xlfn._xlws.FILTER(CT24:DG24,CT24:DG24&gt;BP24))</f>
        <v>5.6005652378709317E-2</v>
      </c>
      <c r="DK24" s="2" cm="1">
        <f t="array" aca="1" ref="DK24" ca="1">_FV(EH24,"Fechamento anterior",TRUE)</f>
        <v>14.62</v>
      </c>
      <c r="DL24" s="36">
        <f ca="1">(BJ24-DM24)/(DN24-DM24)</f>
        <v>0.45370726184737703</v>
      </c>
      <c r="DM24" s="18">
        <f t="shared" ca="1" si="70"/>
        <v>15.074890354320404</v>
      </c>
      <c r="DN24" s="18">
        <f t="shared" ca="1" si="71"/>
        <v>15.43880263777673</v>
      </c>
      <c r="DO24" s="9"/>
      <c r="DP24" s="9"/>
      <c r="DQ24" s="94">
        <v>7.8385778044481151E-3</v>
      </c>
      <c r="DR24" s="94">
        <v>7.2657049167790012E-3</v>
      </c>
      <c r="DS24" s="94">
        <v>8.2208097547411332E-3</v>
      </c>
      <c r="DT24" s="94">
        <f t="shared" ca="1" si="12"/>
        <v>2.4891401057204141E-2</v>
      </c>
      <c r="DU24" s="87">
        <f ca="1">(BJ24-CF24)/(CF24-CE24)</f>
        <v>1.1500866551189777</v>
      </c>
      <c r="DV24" s="46"/>
      <c r="DW24" s="43">
        <f>_xlfn.STDEV.P(BF24:BI24)</f>
        <v>0.46083484026275667</v>
      </c>
      <c r="DX24" s="76">
        <f ca="1">BO24-$DT$2</f>
        <v>7.4999999999999956E-2</v>
      </c>
      <c r="DY24" s="76">
        <f ca="1">BO24-BP24*100</f>
        <v>-3.1687000000000003</v>
      </c>
      <c r="DZ24" s="101"/>
      <c r="EA24" s="100">
        <v>-1.4051000000000002</v>
      </c>
      <c r="EB24" s="107">
        <v>1.30857</v>
      </c>
      <c r="EC24" s="107">
        <v>-1.8297999999999996</v>
      </c>
      <c r="ED24" s="98">
        <f t="shared" ca="1" si="13"/>
        <v>3.2437000000000005</v>
      </c>
      <c r="EE24" s="66"/>
      <c r="EF24" s="66"/>
      <c r="EH24" s="2" t="e" vm="24">
        <v>#VALUE!</v>
      </c>
      <c r="EJ24" s="10" cm="1">
        <f t="array" aca="1" ref="EJ24" ca="1">_FV(EH24,"Ações em circulação",TRUE)</f>
        <v>46720760</v>
      </c>
      <c r="EK24" s="21">
        <f>VLOOKUP(BK24,Fundamentus!A:U,5,FALSE)</f>
        <v>0.56299999999999994</v>
      </c>
      <c r="EL24" s="2">
        <f ca="1">(BJ24*EJ24)/EK24</f>
        <v>1264696949.2007105</v>
      </c>
      <c r="EM24" s="20">
        <v>28025983.141598575</v>
      </c>
      <c r="EN24" s="20">
        <f t="shared" ca="1" si="14"/>
        <v>29214499.526536413</v>
      </c>
      <c r="EP24" s="19">
        <f t="shared" ca="1" si="15"/>
        <v>4.240766073871427E-2</v>
      </c>
      <c r="EQ24" s="40" t="str">
        <f>IF(VLOOKUP(BK24,Fundamentus!A:U,3,FALSE)&lt;15,"Bom",IF(VLOOKUP(BK24,Fundamentus!A:U,3,FALSE)&gt;15,"Ruim","n/a"))</f>
        <v>Ruim</v>
      </c>
      <c r="ER24" s="36" t="str">
        <f>IF(VLOOKUP(BK24,Fundamentus!A:U,4,FALSE)&lt;1,"Baixo",IF(VLOOKUP(BK24,Fundamentus!A:U,4,FALSE)&lt;1.5,"Moderado",IF(VLOOKUP(BK24,Fundamentus!A:U,4,FALSE)&gt;1.5,"Alto","n/a")))</f>
        <v>Alto</v>
      </c>
      <c r="ES24" s="20" t="str">
        <f>IF(VLOOKUP(BK24,Fundamentus!A:U,8,FALSE)&lt;0,"Risco elevado",IF(VLOOKUP(BK24,Fundamentus!A:U,8,FALSE)&lt;1,"Saudável",IF(VLOOKUP(BK24,Fundamentus!A:U,8,FALSE)&lt;3,"Estável",IF(VLOOKUP(BK24,Fundamentus!A:U,8,FALSE)&gt;3,"Alerta","n/a"))))</f>
        <v>Estável</v>
      </c>
      <c r="ET24" s="36" t="str">
        <f t="shared" si="16"/>
        <v>Ruim</v>
      </c>
      <c r="EU24" s="20" t="str">
        <f>IF(VLOOKUP(BK24,Fundamentus!A:U,12,FALSE)&lt;2,"Subvalorizada",IF(VLOOKUP(BK24,Fundamentus!A:U,12,FALSE)&lt;6,"Muita barata",IF(VLOOKUP(BK24,Fundamentus!A:U,12,FALSE)&lt;6,"Barata",IF(VLOOKUP(BK24,Fundamentus!A:U,12,FALSE)&lt;8,"Atrativa",IF(VLOOKUP(BK24,Fundamentus!A:U,12,FALSE)&gt;8,"Supervalorizada","n/a")))))</f>
        <v>Atrativa</v>
      </c>
      <c r="EW24" s="20" t="str">
        <f>IF(VLOOKUP(BK24,Fundamentus!A:U,17,FALSE)&lt;0.1,"Fraco retorno",IF(VLOOKUP(BK24,Fundamentus!A:U,17,FALSE)&gt;0.1,"Bom retorno","n/a"))</f>
        <v>Fraco retorno</v>
      </c>
      <c r="EX24" s="20" t="str">
        <f>IF(VLOOKUP(BK24,Fundamentus!A:U,16,FALSE)&lt;0.1,"Ineficiente",IF(VLOOKUP(BK24,Fundamentus!A:U,16,FALSE)&gt;0.1,"Eficiente","n/a"))</f>
        <v>Ineficiente</v>
      </c>
      <c r="EY24" s="41" t="str">
        <f>IF(VLOOKUP(BK24,Fundamentus!A:U,16,FALSE)&lt;0.1,"Oper. Ineficiente",IF(VLOOKUP(BK24,Fundamentus!A:U,16,FALSE)&gt;0.1,"Oper.Eficiente","n/a"))</f>
        <v>Oper. Ineficiente</v>
      </c>
      <c r="EZ24" s="42">
        <f>VLOOKUP(BK24,Fundamentus!A:U,14,FALSE)</f>
        <v>2.3099999999999999E-2</v>
      </c>
      <c r="FA24" s="20" t="str">
        <f>IF(VLOOKUP(BK24,Fundamentus!A:U,21,FALSE)&lt;0,"Negativo",IF(VLOOKUP(BK24,Fundamentus!A:U,21,FALSE)&lt;0.05,"Fraco",IF(VLOOKUP(BK24,Fundamentus!A:U,21,FALSE)&lt;0.1,"Bom",IF(VLOOKUP(BK24,Fundamentus!A:U,21,FALSE)&gt;0.1,"Muito bom","n/a"))))</f>
        <v>Muito bom</v>
      </c>
      <c r="FC24" s="37" t="str">
        <f>IF(VLOOKUP(BK24,Fundamentus!A:U,15,FALSE)&gt;1,"Bom",IF(VLOOKUP(BK24,Fundamentus!A:U,15,FALSE)&lt;1,"Ruim","n/a"))</f>
        <v>Bom</v>
      </c>
      <c r="FD24" s="20" t="str">
        <f>IF(VLOOKUP(BK24,Fundamentus!A:U,20,FALSE)&lt;0.5,"Baixa",IF(VLOOKUP(BK24,Fundamentus!A:U,20,FALSE)&lt;1,"Moderada",IF(VLOOKUP(BK24,Fundamentus!A:U,20,FALSE)&lt;2,"Alerta",IF(VLOOKUP(BK24,Fundamentus!A:U,20,FALSE)&gt;2,"Alta","n/a"))))</f>
        <v>Alerta</v>
      </c>
    </row>
    <row r="25" spans="1:161" s="2" customFormat="1" ht="11.25" hidden="1"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8">
        <v>10.41</v>
      </c>
      <c r="BC25" s="62">
        <v>10.53</v>
      </c>
      <c r="BD25" s="62">
        <v>10.7</v>
      </c>
      <c r="BE25" s="62">
        <v>10.84</v>
      </c>
      <c r="BF25" s="62">
        <v>10.48</v>
      </c>
      <c r="BG25" s="81">
        <v>10.57</v>
      </c>
      <c r="BH25" s="62">
        <v>10.75</v>
      </c>
      <c r="BI25" s="62">
        <v>10.48</v>
      </c>
      <c r="BJ25" s="62" cm="1">
        <f t="array" aca="1" ref="BJ25" ca="1">_FV(EH25,"Preço")</f>
        <v>10.76</v>
      </c>
      <c r="BK25" s="83" t="s">
        <v>22</v>
      </c>
      <c r="BL25" s="44" cm="1">
        <f t="array" aca="1" ref="BL25" ca="1">_FV(EH25,"Média de volume",TRUE)</f>
        <v>10897250</v>
      </c>
      <c r="BM25" s="44">
        <v>8359300</v>
      </c>
      <c r="BN25" s="44" cm="1">
        <f t="array" aca="1" ref="BN25" ca="1">_FV(EH25,"Volume")</f>
        <v>6879500</v>
      </c>
      <c r="BO25" s="32" cm="1">
        <f t="array" aca="1" ref="BO25" ca="1">_FV(EH25,"Beta")</f>
        <v>0.81699999999999995</v>
      </c>
      <c r="BP25" s="86" cm="1">
        <f t="array" aca="1" ref="BP25" ca="1">_FV(EH25,"Variação (%)",TRUE)</f>
        <v>2.6718000000000002E-2</v>
      </c>
      <c r="BQ25" s="84"/>
      <c r="BR25" s="84"/>
      <c r="BT25" s="20" cm="1">
        <f t="array" aca="1" ref="BT25" ca="1">_FV(EH25,"Baixo")</f>
        <v>10.48</v>
      </c>
      <c r="BU25" s="20" cm="1">
        <f t="array" aca="1" ref="BU25" ca="1">_FV(EH25,"Alto")</f>
        <v>10.83</v>
      </c>
      <c r="BV25" s="32"/>
      <c r="BW25" s="73">
        <f ca="1">SQRT(22.5*(BJ25/VLOOKUP(BK25,Fundamentus!A:U,3,FALSE))*(BJ25/VLOOKUP(BK25,Fundamentus!A:U,4,FALSE)))</f>
        <v>23.629241405147056</v>
      </c>
      <c r="BY25" s="72">
        <f t="shared" ca="1" si="0"/>
        <v>2.6717557251908334E-2</v>
      </c>
      <c r="BZ25" s="8"/>
      <c r="CA25" s="71">
        <f t="shared" si="36"/>
        <v>9.9</v>
      </c>
      <c r="CB25" s="71">
        <f t="shared" si="1"/>
        <v>12.09</v>
      </c>
      <c r="CC25" s="71">
        <f t="shared" si="37"/>
        <v>10.890901639344264</v>
      </c>
      <c r="CD25" s="17"/>
      <c r="CE25" s="43">
        <f t="shared" si="19"/>
        <v>10.39454592314951</v>
      </c>
      <c r="CF25" s="18">
        <f>FORECAST("04/07/2025", BF25:BI25, $BF$5:$BI$5)</f>
        <v>10.614999999999995</v>
      </c>
      <c r="CG25" s="43">
        <f t="shared" si="20"/>
        <v>10.83545407685048</v>
      </c>
      <c r="CI25" s="17"/>
      <c r="CJ25" s="20">
        <f>CA25-2*(CB25-CM25)</f>
        <v>7.3666666666666654</v>
      </c>
      <c r="CK25" s="20">
        <f>CM25-(CB25-CA25)</f>
        <v>8.6333333333333329</v>
      </c>
      <c r="CL25" s="20">
        <f>2*CM25-CB25</f>
        <v>9.5566666666666649</v>
      </c>
      <c r="CM25" s="48">
        <f>(CB25+CA25+BI25)/3</f>
        <v>10.823333333333332</v>
      </c>
      <c r="CN25" s="20">
        <f>2*CM25-CA25</f>
        <v>11.746666666666664</v>
      </c>
      <c r="CO25" s="20">
        <f>CM25+(CB25-CA25)</f>
        <v>13.013333333333332</v>
      </c>
      <c r="CP25" s="20">
        <f>CB25+2*(CM25-CA25)</f>
        <v>13.936666666666664</v>
      </c>
      <c r="CQ25" s="2" cm="1">
        <f t="array" aca="1" ref="CQ25" ca="1">MAX(_xlfn._xlws.FILTER(CJ25:CP25,CJ25:CP25&lt;BJ25))</f>
        <v>9.5566666666666649</v>
      </c>
      <c r="CR25" s="2" cm="1">
        <f t="array" aca="1" ref="CR25" ca="1">MIN(_xlfn._xlws.FILTER($CJ25:$CP25,$CJ25:$CP25&gt;BJ25))</f>
        <v>10.823333333333332</v>
      </c>
      <c r="CS25" s="19">
        <f t="shared" ca="1" si="55"/>
        <v>0.13254272758981522</v>
      </c>
      <c r="CT25" s="23">
        <f t="shared" ca="1" si="56"/>
        <v>-6.6271363794907612E-2</v>
      </c>
      <c r="CU25" s="23">
        <f t="shared" ca="1" si="57"/>
        <v>-4.4180909196605077E-2</v>
      </c>
      <c r="CV25" s="23">
        <f t="shared" ca="1" si="58"/>
        <v>-2.6508545517963045E-2</v>
      </c>
      <c r="CW25" s="23">
        <f t="shared" ca="1" si="59"/>
        <v>-1.4726969732201691E-2</v>
      </c>
      <c r="CX25" s="23">
        <f t="shared" ca="1" si="60"/>
        <v>-7.7966310346950134E-3</v>
      </c>
      <c r="CY25" s="23">
        <f t="shared" ca="1" si="61"/>
        <v>-4.0164462906004611E-3</v>
      </c>
      <c r="CZ25" s="23">
        <f t="shared" ca="1" si="62"/>
        <v>-2.0391188859971571E-3</v>
      </c>
      <c r="DA25" s="24">
        <f t="shared" ca="1" si="63"/>
        <v>2.0391188859971571E-3</v>
      </c>
      <c r="DB25" s="24">
        <f t="shared" ca="1" si="64"/>
        <v>4.0164462906004611E-3</v>
      </c>
      <c r="DC25" s="24">
        <f t="shared" ca="1" si="65"/>
        <v>7.7966310346950134E-3</v>
      </c>
      <c r="DD25" s="24">
        <f t="shared" ca="1" si="66"/>
        <v>1.4726969732201691E-2</v>
      </c>
      <c r="DE25" s="24">
        <f t="shared" ca="1" si="67"/>
        <v>2.6508545517963045E-2</v>
      </c>
      <c r="DF25" s="24">
        <f t="shared" ca="1" si="68"/>
        <v>4.4180909196605077E-2</v>
      </c>
      <c r="DG25" s="24">
        <f t="shared" ca="1" si="69"/>
        <v>6.6271363794907612E-2</v>
      </c>
      <c r="DI25" s="19" cm="1">
        <f t="array" aca="1" ref="DI25" ca="1">MAX(_xlfn._xlws.FILTER(CT25:DG25,CT25:DG25&lt;BP25))</f>
        <v>2.6508545517963045E-2</v>
      </c>
      <c r="DJ25" s="19" cm="1">
        <f t="array" aca="1" ref="DJ25" ca="1">MIN(_xlfn._xlws.FILTER(CT25:DG25,CT25:DG25&gt;BP25))</f>
        <v>4.4180909196605077E-2</v>
      </c>
      <c r="DK25" s="2" cm="1">
        <f t="array" aca="1" ref="DK25" ca="1">_FV(EH25,"Fechamento anterior",TRUE)</f>
        <v>10.48</v>
      </c>
      <c r="DL25" s="36">
        <f ca="1">(BJ25-DM25)/(DN25-DM25)</f>
        <v>1.1827038971471741E-2</v>
      </c>
      <c r="DM25" s="18">
        <f t="shared" ca="1" si="70"/>
        <v>10.757809557028253</v>
      </c>
      <c r="DN25" s="18">
        <f t="shared" ca="1" si="71"/>
        <v>10.943015928380422</v>
      </c>
      <c r="DO25" s="9"/>
      <c r="DP25" s="9"/>
      <c r="DQ25" s="94">
        <v>4.5194741487284938E-3</v>
      </c>
      <c r="DR25" s="94">
        <v>6.8383063370275584E-3</v>
      </c>
      <c r="DS25" s="94">
        <v>1.9184512772034449E-3</v>
      </c>
      <c r="DT25" s="94">
        <f t="shared" ca="1" si="12"/>
        <v>1.7672363678642031E-2</v>
      </c>
      <c r="DU25" s="87">
        <f ca="1">(BJ25-CF25)/(CF25-CE25)</f>
        <v>0.65773335685847056</v>
      </c>
      <c r="DV25" s="46"/>
      <c r="DW25" s="43">
        <f>_xlfn.STDEV.P(BF25:BI25)</f>
        <v>0.11022703842524284</v>
      </c>
      <c r="DX25" s="76">
        <f ca="1">BO25-$DT$2</f>
        <v>-0.18010000000000015</v>
      </c>
      <c r="DY25" s="76">
        <f ca="1">BO25-BP25*100</f>
        <v>-1.8548000000000002</v>
      </c>
      <c r="DZ25" s="101"/>
      <c r="EA25" s="100">
        <v>1.0470999999999999</v>
      </c>
      <c r="EB25" s="107">
        <v>1.0562</v>
      </c>
      <c r="EC25" s="107">
        <v>-0.8577999999999999</v>
      </c>
      <c r="ED25" s="98">
        <f t="shared" ca="1" si="13"/>
        <v>1.6747000000000001</v>
      </c>
      <c r="EE25" s="66"/>
      <c r="EF25" s="66"/>
      <c r="EH25" s="2" t="e" vm="25">
        <v>#VALUE!</v>
      </c>
      <c r="EJ25" s="10" cm="1">
        <f t="array" aca="1" ref="EJ25" ca="1">_FV(EH25,"Ações em circulação",TRUE)</f>
        <v>2861782000</v>
      </c>
      <c r="EK25" s="21">
        <f>VLOOKUP(BK25,Fundamentus!A:U,5,FALSE)</f>
        <v>0.745</v>
      </c>
      <c r="EL25" s="2">
        <f ca="1">(BJ25*EJ25)/EK25</f>
        <v>41332582979.865768</v>
      </c>
      <c r="EM25" s="20">
        <v>6944334898.7919455</v>
      </c>
      <c r="EN25" s="20">
        <f t="shared" ca="1" si="14"/>
        <v>7129870564.026845</v>
      </c>
      <c r="EP25" s="19">
        <f t="shared" ca="1" si="15"/>
        <v>2.6717557251908497E-2</v>
      </c>
      <c r="EQ25" s="40" t="str">
        <f>IF(VLOOKUP(BK25,Fundamentus!A:U,3,FALSE)&lt;15,"Bom",IF(VLOOKUP(BK25,Fundamentus!A:U,3,FALSE)&gt;15,"Ruim","n/a"))</f>
        <v>Bom</v>
      </c>
      <c r="ER25" s="36" t="str">
        <f>IF(VLOOKUP(BK25,Fundamentus!A:U,4,FALSE)&lt;1,"Baixo",IF(VLOOKUP(BK25,Fundamentus!A:U,4,FALSE)&lt;1.5,"Moderado",IF(VLOOKUP(BK25,Fundamentus!A:U,4,FALSE)&gt;1.5,"Alto","n/a")))</f>
        <v>Moderado</v>
      </c>
      <c r="ES25" s="20" t="str">
        <f>IF(VLOOKUP(BK25,Fundamentus!A:U,8,FALSE)&lt;0,"Risco elevado",IF(VLOOKUP(BK25,Fundamentus!A:U,8,FALSE)&lt;1,"Saudável",IF(VLOOKUP(BK25,Fundamentus!A:U,8,FALSE)&lt;3,"Estável",IF(VLOOKUP(BK25,Fundamentus!A:U,8,FALSE)&gt;3,"Alerta","n/a"))))</f>
        <v>Alerta</v>
      </c>
      <c r="ET25" s="36" t="str">
        <f t="shared" si="16"/>
        <v>Ruim</v>
      </c>
      <c r="EU25" s="20" t="str">
        <f>IF(VLOOKUP(BK25,Fundamentus!A:U,12,FALSE)&lt;2,"Subvalorizada",IF(VLOOKUP(BK25,Fundamentus!A:U,12,FALSE)&lt;6,"Muita barata",IF(VLOOKUP(BK25,Fundamentus!A:U,12,FALSE)&lt;6,"Barata",IF(VLOOKUP(BK25,Fundamentus!A:U,12,FALSE)&lt;8,"Atrativa",IF(VLOOKUP(BK25,Fundamentus!A:U,12,FALSE)&gt;8,"Supervalorizada","n/a")))))</f>
        <v>Muita barata</v>
      </c>
      <c r="EW25" s="20" t="str">
        <f>IF(VLOOKUP(BK25,Fundamentus!A:U,17,FALSE)&lt;0.1,"Fraco retorno",IF(VLOOKUP(BK25,Fundamentus!A:U,17,FALSE)&gt;0.1,"Bom retorno","n/a"))</f>
        <v>Bom retorno</v>
      </c>
      <c r="EX25" s="20" t="str">
        <f>IF(VLOOKUP(BK25,Fundamentus!A:U,16,FALSE)&lt;0.1,"Ineficiente",IF(VLOOKUP(BK25,Fundamentus!A:U,16,FALSE)&gt;0.1,"Eficiente","n/a"))</f>
        <v>Eficiente</v>
      </c>
      <c r="EY25" s="41" t="str">
        <f>IF(VLOOKUP(BK25,Fundamentus!A:U,16,FALSE)&lt;0.1,"Oper. Ineficiente",IF(VLOOKUP(BK25,Fundamentus!A:U,16,FALSE)&gt;0.1,"Oper.Eficiente","n/a"))</f>
        <v>Oper.Eficiente</v>
      </c>
      <c r="EZ25" s="42">
        <f>VLOOKUP(BK25,Fundamentus!A:U,14,FALSE)</f>
        <v>0.17249999999999999</v>
      </c>
      <c r="FA25" s="20" t="str">
        <f>IF(VLOOKUP(BK25,Fundamentus!A:U,21,FALSE)&lt;0,"Negativo",IF(VLOOKUP(BK25,Fundamentus!A:U,21,FALSE)&lt;0.05,"Fraco",IF(VLOOKUP(BK25,Fundamentus!A:U,21,FALSE)&lt;0.1,"Bom",IF(VLOOKUP(BK25,Fundamentus!A:U,21,FALSE)&gt;0.1,"Muito bom","n/a"))))</f>
        <v>Bom</v>
      </c>
      <c r="FC25" s="37" t="str">
        <f>IF(VLOOKUP(BK25,Fundamentus!A:U,15,FALSE)&gt;1,"Bom",IF(VLOOKUP(BK25,Fundamentus!A:U,15,FALSE)&lt;1,"Ruim","n/a"))</f>
        <v>Bom</v>
      </c>
      <c r="FD25" s="20" t="str">
        <f>IF(VLOOKUP(BK25,Fundamentus!A:U,20,FALSE)&lt;0.5,"Baixa",IF(VLOOKUP(BK25,Fundamentus!A:U,20,FALSE)&lt;1,"Moderada",IF(VLOOKUP(BK25,Fundamentus!A:U,20,FALSE)&lt;2,"Alerta",IF(VLOOKUP(BK25,Fundamentus!A:U,20,FALSE)&gt;2,"Alta","n/a"))))</f>
        <v>Moderada</v>
      </c>
    </row>
    <row r="26" spans="1:161" s="2" customFormat="1" ht="11.25" hidden="1"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8">
        <v>8.85</v>
      </c>
      <c r="BC26" s="62">
        <v>8.73</v>
      </c>
      <c r="BD26" s="62">
        <v>8.7899999999999991</v>
      </c>
      <c r="BE26" s="62">
        <v>8.73</v>
      </c>
      <c r="BF26" s="62">
        <v>8.68</v>
      </c>
      <c r="BG26" s="81">
        <v>8.65</v>
      </c>
      <c r="BH26" s="62">
        <v>8.65</v>
      </c>
      <c r="BI26" s="62">
        <v>8.4700000000000006</v>
      </c>
      <c r="BJ26" s="62" cm="1">
        <f t="array" aca="1" ref="BJ26" ca="1">_FV(EH26,"Preço")</f>
        <v>8.4700000000000006</v>
      </c>
      <c r="BK26" s="83" t="s">
        <v>23</v>
      </c>
      <c r="BL26" s="44" cm="1">
        <f t="array" aca="1" ref="BL26" ca="1">_FV(EH26,"Média de volume",TRUE)</f>
        <v>9850</v>
      </c>
      <c r="BM26" s="44">
        <v>800</v>
      </c>
      <c r="BN26" s="44" cm="1">
        <f t="array" aca="1" ref="BN26" ca="1">_FV(EH26,"Volume")</f>
        <v>900</v>
      </c>
      <c r="BO26" s="32" cm="1">
        <f t="array" aca="1" ref="BO26" ca="1">_FV(EH26,"Beta")</f>
        <v>0.42130000000000001</v>
      </c>
      <c r="BP26" s="86" cm="1">
        <f t="array" aca="1" ref="BP26" ca="1">_FV(EH26,"Variação (%)",TRUE)</f>
        <v>0</v>
      </c>
      <c r="BQ26" s="48"/>
      <c r="BR26" s="48"/>
      <c r="BT26" s="20" cm="1">
        <f t="array" aca="1" ref="BT26" ca="1">_FV(EH26,"Baixo")</f>
        <v>8.4600000000000009</v>
      </c>
      <c r="BU26" s="20" cm="1">
        <f t="array" aca="1" ref="BU26" ca="1">_FV(EH26,"Alto")</f>
        <v>8.58</v>
      </c>
      <c r="BV26" s="32"/>
      <c r="BW26" s="73">
        <f ca="1">SQRT(22.5*(BJ26/VLOOKUP(BK26,Fundamentus!A:U,3,FALSE))*(BJ26/VLOOKUP(BK26,Fundamentus!A:U,4,FALSE)))</f>
        <v>13.649459290377317</v>
      </c>
      <c r="BY26" s="72">
        <f t="shared" ca="1" si="0"/>
        <v>0</v>
      </c>
      <c r="BZ26" s="8"/>
      <c r="CA26" s="71">
        <f t="shared" si="36"/>
        <v>8.33</v>
      </c>
      <c r="CB26" s="71">
        <f t="shared" si="1"/>
        <v>9.86</v>
      </c>
      <c r="CC26" s="71">
        <f t="shared" si="37"/>
        <v>8.9995901639344247</v>
      </c>
      <c r="CD26" s="17"/>
      <c r="CE26" s="43">
        <f t="shared" si="19"/>
        <v>8.2886419524038999</v>
      </c>
      <c r="CF26" s="18">
        <f>FORECAST("04/07/2025", BF26:BI26, $BF$5:$BI$5)</f>
        <v>8.4550000000000409</v>
      </c>
      <c r="CG26" s="43">
        <f t="shared" si="20"/>
        <v>8.621358047596182</v>
      </c>
      <c r="CI26" s="17"/>
      <c r="CJ26" s="20">
        <f>CA26-2*(CB26-CM26)</f>
        <v>6.3833333333333311</v>
      </c>
      <c r="CK26" s="20">
        <f>CM26-(CB26-CA26)</f>
        <v>7.3566666666666656</v>
      </c>
      <c r="CL26" s="20">
        <f>2*CM26-CB26</f>
        <v>7.9133333333333304</v>
      </c>
      <c r="CM26" s="48">
        <f>(CB26+CA26+BI26)/3</f>
        <v>8.8866666666666649</v>
      </c>
      <c r="CN26" s="20">
        <f>2*CM26-CA26</f>
        <v>9.4433333333333298</v>
      </c>
      <c r="CO26" s="20">
        <f>CM26+(CB26-CA26)</f>
        <v>10.416666666666664</v>
      </c>
      <c r="CP26" s="20">
        <f>CB26+2*(CM26-CA26)</f>
        <v>10.973333333333329</v>
      </c>
      <c r="CQ26" s="2" cm="1">
        <f t="array" aca="1" ref="CQ26" ca="1">MAX(_xlfn._xlws.FILTER(CJ26:CP26,CJ26:CP26&lt;BJ26))</f>
        <v>7.9133333333333304</v>
      </c>
      <c r="CR26" s="2" cm="1">
        <f t="array" aca="1" ref="CR26" ca="1">MIN(_xlfn._xlws.FILTER($CJ26:$CP26,$CJ26:$CP26&gt;BJ26))</f>
        <v>8.8866666666666649</v>
      </c>
      <c r="CS26" s="19">
        <f t="shared" ca="1" si="55"/>
        <v>0.12299915754001711</v>
      </c>
      <c r="CT26" s="23">
        <f t="shared" ca="1" si="56"/>
        <v>-6.1499578770008556E-2</v>
      </c>
      <c r="CU26" s="23">
        <f t="shared" ca="1" si="57"/>
        <v>-4.0999719180005702E-2</v>
      </c>
      <c r="CV26" s="23">
        <f t="shared" ca="1" si="58"/>
        <v>-2.4599831508003423E-2</v>
      </c>
      <c r="CW26" s="23">
        <f t="shared" ca="1" si="59"/>
        <v>-1.3666573060001901E-2</v>
      </c>
      <c r="CX26" s="23">
        <f t="shared" ca="1" si="60"/>
        <v>-7.2352445611774769E-3</v>
      </c>
      <c r="CY26" s="23">
        <f t="shared" ca="1" si="61"/>
        <v>-3.7272471981823368E-3</v>
      </c>
      <c r="CZ26" s="23">
        <f t="shared" ca="1" si="62"/>
        <v>-1.8922947313848788E-3</v>
      </c>
      <c r="DA26" s="24">
        <f t="shared" ca="1" si="63"/>
        <v>1.8922947313848788E-3</v>
      </c>
      <c r="DB26" s="24">
        <f t="shared" ca="1" si="64"/>
        <v>3.7272471981823368E-3</v>
      </c>
      <c r="DC26" s="24">
        <f t="shared" ca="1" si="65"/>
        <v>7.2352445611774769E-3</v>
      </c>
      <c r="DD26" s="24">
        <f t="shared" ca="1" si="66"/>
        <v>1.3666573060001901E-2</v>
      </c>
      <c r="DE26" s="24">
        <f t="shared" ca="1" si="67"/>
        <v>2.4599831508003423E-2</v>
      </c>
      <c r="DF26" s="24">
        <f t="shared" ca="1" si="68"/>
        <v>4.0999719180005702E-2</v>
      </c>
      <c r="DG26" s="24">
        <f t="shared" ca="1" si="69"/>
        <v>6.1499578770008556E-2</v>
      </c>
      <c r="DI26" s="19" cm="1">
        <f t="array" aca="1" ref="DI26" ca="1">MAX(_xlfn._xlws.FILTER(CT26:DG26,CT26:DG26&lt;BP26))</f>
        <v>-1.8922947313848788E-3</v>
      </c>
      <c r="DJ26" s="19" cm="1">
        <f t="array" aca="1" ref="DJ26" ca="1">MIN(_xlfn._xlws.FILTER(CT26:DG26,CT26:DG26&gt;BP26))</f>
        <v>1.8922947313848788E-3</v>
      </c>
      <c r="DK26" s="2" cm="1">
        <f t="array" aca="1" ref="DK26" ca="1">_FV(EH26,"Fechamento anterior",TRUE)</f>
        <v>8.4700000000000006</v>
      </c>
      <c r="DL26" s="36">
        <f ca="1">(BJ26-DM26)/(DN26-DM26)</f>
        <v>0.5</v>
      </c>
      <c r="DM26" s="18">
        <f t="shared" ca="1" si="70"/>
        <v>8.45397226362517</v>
      </c>
      <c r="DN26" s="18">
        <f t="shared" ca="1" si="71"/>
        <v>8.4860277363748313</v>
      </c>
      <c r="DO26" s="9"/>
      <c r="DP26" s="9"/>
      <c r="DQ26" s="94">
        <v>3.5997988939165376E-3</v>
      </c>
      <c r="DR26" s="94">
        <v>3.5997988939165376E-3</v>
      </c>
      <c r="DS26" s="94">
        <v>3.4982444940951179E-3</v>
      </c>
      <c r="DT26" s="94">
        <f t="shared" ca="1" si="12"/>
        <v>3.7845894627697575E-3</v>
      </c>
      <c r="DU26" s="87">
        <f ca="1">(BJ26-CF26)/(CF26-CE26)</f>
        <v>9.0166963466501174E-2</v>
      </c>
      <c r="DV26" s="46"/>
      <c r="DW26" s="43">
        <f>_xlfn.STDEV.P(BF26:BI26)</f>
        <v>8.3179023798070378E-2</v>
      </c>
      <c r="DX26" s="76">
        <f ca="1">BO26-$DT$2</f>
        <v>-0.57580000000000009</v>
      </c>
      <c r="DY26" s="76">
        <f ca="1">BO26-BP26*100</f>
        <v>0.42130000000000001</v>
      </c>
      <c r="DZ26" s="101"/>
      <c r="EA26" s="100">
        <v>-0.50219999999999976</v>
      </c>
      <c r="EB26" s="107">
        <v>1.0112000000000001</v>
      </c>
      <c r="EC26" s="107">
        <v>-0.40599999999999992</v>
      </c>
      <c r="ED26" s="98">
        <f t="shared" ca="1" si="13"/>
        <v>-0.9971000000000001</v>
      </c>
      <c r="EE26" s="66"/>
      <c r="EF26" s="66"/>
      <c r="EH26" s="2" t="e" vm="26">
        <v>#VALUE!</v>
      </c>
      <c r="EJ26" s="10" cm="1">
        <f t="array" aca="1" ref="EJ26" ca="1">_FV(EH26,"Ações em circulação",TRUE)</f>
        <v>315912900</v>
      </c>
      <c r="EK26" s="21">
        <f>VLOOKUP(BK26,Fundamentus!A:U,5,FALSE)</f>
        <v>0</v>
      </c>
      <c r="EL26" s="2" t="e">
        <f ca="1">(BJ26*EJ26)/EK26</f>
        <v>#DIV/0!</v>
      </c>
      <c r="EM26" s="20" t="e">
        <v>#DIV/0!</v>
      </c>
      <c r="EN26" s="20" t="e">
        <f t="shared" ca="1" si="14"/>
        <v>#DIV/0!</v>
      </c>
      <c r="EP26" s="19" t="e">
        <f t="shared" ca="1" si="15"/>
        <v>#DIV/0!</v>
      </c>
      <c r="EQ26" s="40" t="str">
        <f>IF(VLOOKUP(BK26,Fundamentus!A:U,3,FALSE)&lt;15,"Bom",IF(VLOOKUP(BK26,Fundamentus!A:U,3,FALSE)&gt;15,"Ruim","n/a"))</f>
        <v>Bom</v>
      </c>
      <c r="ER26" s="36" t="str">
        <f>IF(VLOOKUP(BK26,Fundamentus!A:U,4,FALSE)&lt;1,"Baixo",IF(VLOOKUP(BK26,Fundamentus!A:U,4,FALSE)&lt;1.5,"Moderado",IF(VLOOKUP(BK26,Fundamentus!A:U,4,FALSE)&gt;1.5,"Alto","n/a")))</f>
        <v>Moderado</v>
      </c>
      <c r="ES26" s="20" t="str">
        <f>IF(VLOOKUP(BK26,Fundamentus!A:U,8,FALSE)&lt;0,"Risco elevado",IF(VLOOKUP(BK26,Fundamentus!A:U,8,FALSE)&lt;1,"Saudável",IF(VLOOKUP(BK26,Fundamentus!A:U,8,FALSE)&lt;3,"Estável",IF(VLOOKUP(BK26,Fundamentus!A:U,8,FALSE)&gt;3,"Alerta","n/a"))))</f>
        <v>Saudável</v>
      </c>
      <c r="ET26" s="36" t="str">
        <f t="shared" si="16"/>
        <v>Ruim</v>
      </c>
      <c r="EU26" s="20" t="str">
        <f>IF(VLOOKUP(BK26,Fundamentus!A:U,12,FALSE)&lt;2,"Subvalorizada",IF(VLOOKUP(BK26,Fundamentus!A:U,12,FALSE)&lt;6,"Muita barata",IF(VLOOKUP(BK26,Fundamentus!A:U,12,FALSE)&lt;6,"Barata",IF(VLOOKUP(BK26,Fundamentus!A:U,12,FALSE)&lt;8,"Atrativa",IF(VLOOKUP(BK26,Fundamentus!A:U,12,FALSE)&gt;8,"Supervalorizada","n/a")))))</f>
        <v>Subvalorizada</v>
      </c>
      <c r="EW26" s="20" t="str">
        <f>IF(VLOOKUP(BK26,Fundamentus!A:U,17,FALSE)&lt;0.1,"Fraco retorno",IF(VLOOKUP(BK26,Fundamentus!A:U,17,FALSE)&gt;0.1,"Bom retorno","n/a"))</f>
        <v>Bom retorno</v>
      </c>
      <c r="EX26" s="20" t="str">
        <f>IF(VLOOKUP(BK26,Fundamentus!A:U,16,FALSE)&lt;0.1,"Ineficiente",IF(VLOOKUP(BK26,Fundamentus!A:U,16,FALSE)&gt;0.1,"Eficiente","n/a"))</f>
        <v>Ineficiente</v>
      </c>
      <c r="EY26" s="41" t="str">
        <f>IF(VLOOKUP(BK26,Fundamentus!A:U,16,FALSE)&lt;0.1,"Oper. Ineficiente",IF(VLOOKUP(BK26,Fundamentus!A:U,16,FALSE)&gt;0.1,"Oper.Eficiente","n/a"))</f>
        <v>Oper. Ineficiente</v>
      </c>
      <c r="EZ26" s="42">
        <f>VLOOKUP(BK26,Fundamentus!A:U,14,FALSE)</f>
        <v>0</v>
      </c>
      <c r="FA26" s="20" t="str">
        <f>IF(VLOOKUP(BK26,Fundamentus!A:U,21,FALSE)&lt;0,"Negativo",IF(VLOOKUP(BK26,Fundamentus!A:U,21,FALSE)&lt;0.05,"Fraco",IF(VLOOKUP(BK26,Fundamentus!A:U,21,FALSE)&lt;0.1,"Bom",IF(VLOOKUP(BK26,Fundamentus!A:U,21,FALSE)&gt;0.1,"Muito bom","n/a"))))</f>
        <v>Muito bom</v>
      </c>
      <c r="FC26" s="37" t="str">
        <f>IF(VLOOKUP(BK26,Fundamentus!A:U,15,FALSE)&gt;1,"Bom",IF(VLOOKUP(BK26,Fundamentus!A:U,15,FALSE)&lt;1,"Ruim","n/a"))</f>
        <v>Ruim</v>
      </c>
      <c r="FD26" s="20" t="str">
        <f>IF(VLOOKUP(BK26,Fundamentus!A:U,20,FALSE)&lt;0.5,"Baixa",IF(VLOOKUP(BK26,Fundamentus!A:U,20,FALSE)&lt;1,"Moderada",IF(VLOOKUP(BK26,Fundamentus!A:U,20,FALSE)&lt;2,"Alerta",IF(VLOOKUP(BK26,Fundamentus!A:U,20,FALSE)&gt;2,"Alta","n/a"))))</f>
        <v>Baixa</v>
      </c>
    </row>
    <row r="27" spans="1:161" s="5" customFormat="1" ht="11.25" hidden="1"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8">
        <v>5.34</v>
      </c>
      <c r="BC27" s="62">
        <v>5.68</v>
      </c>
      <c r="BD27" s="62">
        <v>5.56</v>
      </c>
      <c r="BE27" s="62">
        <v>5.84</v>
      </c>
      <c r="BF27" s="62">
        <v>6.03</v>
      </c>
      <c r="BG27" s="81">
        <v>6.2</v>
      </c>
      <c r="BH27" s="62">
        <v>6.25</v>
      </c>
      <c r="BI27" s="62">
        <v>6.46</v>
      </c>
      <c r="BJ27" s="62" cm="1">
        <f t="array" aca="1" ref="BJ27" ca="1">_FV(EH27,"Preço")</f>
        <v>6.52</v>
      </c>
      <c r="BK27" s="83" t="s">
        <v>24</v>
      </c>
      <c r="BL27" s="44" cm="1">
        <f t="array" aca="1" ref="BL27" ca="1">_FV(EH27,"Média de volume",TRUE)</f>
        <v>9552900</v>
      </c>
      <c r="BM27" s="44">
        <v>114600</v>
      </c>
      <c r="BN27" s="44" cm="1">
        <f t="array" aca="1" ref="BN27" ca="1">_FV(EH27,"Volume")</f>
        <v>37200</v>
      </c>
      <c r="BO27" s="32" cm="1">
        <f t="array" aca="1" ref="BO27" ca="1">_FV(EH27,"Beta")</f>
        <v>0.78510000000000002</v>
      </c>
      <c r="BP27" s="86" cm="1">
        <f t="array" aca="1" ref="BP27" ca="1">_FV(EH27,"Variação (%)",TRUE)</f>
        <v>9.2879999999999994E-3</v>
      </c>
      <c r="BQ27" s="48"/>
      <c r="BR27" s="48"/>
      <c r="BT27" s="20" cm="1">
        <f t="array" aca="1" ref="BT27" ca="1">_FV(EH27,"Baixo")</f>
        <v>6.44</v>
      </c>
      <c r="BU27" s="20" cm="1">
        <f t="array" aca="1" ref="BU27" ca="1">_FV(EH27,"Alto")</f>
        <v>6.53</v>
      </c>
      <c r="BV27" s="32"/>
      <c r="BW27" s="73">
        <f ca="1">SQRT(22.5*(BJ27/VLOOKUP(BK27,Fundamentus!A:U,3,FALSE))*(BJ27/VLOOKUP(BK27,Fundamentus!A:U,4,FALSE)))</f>
        <v>9.2946632839678305</v>
      </c>
      <c r="BY27" s="72">
        <f t="shared" ca="1" si="0"/>
        <v>9.2879256965943662E-3</v>
      </c>
      <c r="BZ27" s="8"/>
      <c r="CA27" s="71">
        <f t="shared" si="36"/>
        <v>4.68</v>
      </c>
      <c r="CB27" s="71">
        <f t="shared" si="1"/>
        <v>7.28</v>
      </c>
      <c r="CC27" s="71">
        <f t="shared" si="37"/>
        <v>5.7286885245901624</v>
      </c>
      <c r="CD27" s="17"/>
      <c r="CE27" s="43">
        <f t="shared" si="19"/>
        <v>6.2632427669964912</v>
      </c>
      <c r="CF27" s="18">
        <f>FORECAST("04/07/2025", BF27:BI27, $BF$5:$BI$5)</f>
        <v>6.57000000000005</v>
      </c>
      <c r="CG27" s="43">
        <f t="shared" si="20"/>
        <v>6.8767572330036089</v>
      </c>
      <c r="CI27" s="17"/>
      <c r="CJ27" s="20">
        <f>CA27-2*(CB27-CM27)</f>
        <v>2.4000000000000004</v>
      </c>
      <c r="CK27" s="20">
        <f>CM27-(CB27-CA27)</f>
        <v>3.54</v>
      </c>
      <c r="CL27" s="20">
        <f>2*CM27-CB27</f>
        <v>5.0000000000000009</v>
      </c>
      <c r="CM27" s="48">
        <f>(CB27+CA27+BI27)/3</f>
        <v>6.1400000000000006</v>
      </c>
      <c r="CN27" s="20">
        <f>2*CM27-CA27</f>
        <v>7.6000000000000014</v>
      </c>
      <c r="CO27" s="20">
        <f>CM27+(CB27-CA27)</f>
        <v>8.740000000000002</v>
      </c>
      <c r="CP27" s="20">
        <f>CB27+2*(CM27-CA27)</f>
        <v>10.200000000000003</v>
      </c>
      <c r="CQ27" s="2" cm="1">
        <f t="array" aca="1" ref="CQ27" ca="1">MAX(_xlfn._xlws.FILTER(CJ27:CP27,CJ27:CP27&lt;BJ27))</f>
        <v>6.1400000000000006</v>
      </c>
      <c r="CR27" s="2" cm="1">
        <f t="array" aca="1" ref="CR27" ca="1">MIN(_xlfn._xlws.FILTER($CJ27:$CP27,$CJ27:$CP27&gt;BJ27))</f>
        <v>7.6000000000000014</v>
      </c>
      <c r="CS27" s="19">
        <f t="shared" ca="1" si="55"/>
        <v>0.23778501628664506</v>
      </c>
      <c r="CT27" s="23">
        <f t="shared" ca="1" si="56"/>
        <v>-0.11889250814332253</v>
      </c>
      <c r="CU27" s="23">
        <f t="shared" ca="1" si="57"/>
        <v>-7.9261672095548352E-2</v>
      </c>
      <c r="CV27" s="23">
        <f t="shared" ca="1" si="58"/>
        <v>-4.7557003257329013E-2</v>
      </c>
      <c r="CW27" s="23">
        <f t="shared" ca="1" si="59"/>
        <v>-2.6420557365182784E-2</v>
      </c>
      <c r="CX27" s="23">
        <f t="shared" ca="1" si="60"/>
        <v>-1.3987353899214416E-2</v>
      </c>
      <c r="CY27" s="23">
        <f t="shared" ca="1" si="61"/>
        <v>-7.2056065541407591E-3</v>
      </c>
      <c r="CZ27" s="23">
        <f t="shared" ca="1" si="62"/>
        <v>-3.6582310197945393E-3</v>
      </c>
      <c r="DA27" s="24">
        <f t="shared" ca="1" si="63"/>
        <v>3.6582310197945393E-3</v>
      </c>
      <c r="DB27" s="24">
        <f t="shared" ca="1" si="64"/>
        <v>7.2056065541407591E-3</v>
      </c>
      <c r="DC27" s="24">
        <f t="shared" ca="1" si="65"/>
        <v>1.3987353899214416E-2</v>
      </c>
      <c r="DD27" s="24">
        <f t="shared" ca="1" si="66"/>
        <v>2.6420557365182784E-2</v>
      </c>
      <c r="DE27" s="24">
        <f t="shared" ca="1" si="67"/>
        <v>4.7557003257329013E-2</v>
      </c>
      <c r="DF27" s="24">
        <f t="shared" ca="1" si="68"/>
        <v>7.9261672095548352E-2</v>
      </c>
      <c r="DG27" s="24">
        <f t="shared" ca="1" si="69"/>
        <v>0.11889250814332253</v>
      </c>
      <c r="DI27" s="19" cm="1">
        <f t="array" aca="1" ref="DI27" ca="1">MAX(_xlfn._xlws.FILTER(CT27:DG27,CT27:DG27&lt;BP27))</f>
        <v>7.2056065541407591E-3</v>
      </c>
      <c r="DJ27" s="19" cm="1">
        <f t="array" aca="1" ref="DJ27" ca="1">MIN(_xlfn._xlws.FILTER(CT27:DG27,CT27:DG27&gt;BP27))</f>
        <v>1.3987353899214416E-2</v>
      </c>
      <c r="DK27" s="2" cm="1">
        <f t="array" aca="1" ref="DK27" ca="1">_FV(EH27,"Fechamento anterior",TRUE)</f>
        <v>6.46</v>
      </c>
      <c r="DL27" s="36">
        <f ca="1">(BJ27-DM27)/(DN27-DM27)</f>
        <v>0.30704758471520183</v>
      </c>
      <c r="DM27" s="18">
        <f t="shared" ca="1" si="70"/>
        <v>6.5065482183397494</v>
      </c>
      <c r="DN27" s="18">
        <f t="shared" ca="1" si="71"/>
        <v>6.550358306188925</v>
      </c>
      <c r="DO27" s="9"/>
      <c r="DP27" s="9"/>
      <c r="DQ27" s="94">
        <v>5.4543811659561155E-3</v>
      </c>
      <c r="DR27" s="94">
        <v>1.6999487967229894E-2</v>
      </c>
      <c r="DS27" s="94">
        <v>6.9806845137241639E-3</v>
      </c>
      <c r="DT27" s="94">
        <f t="shared" ca="1" si="12"/>
        <v>6.7817473450736566E-3</v>
      </c>
      <c r="DU27" s="87">
        <f ca="1">(BJ27-CF27)/(CF27-CE27)</f>
        <v>-0.16299534165986682</v>
      </c>
      <c r="DV27" s="46"/>
      <c r="DW27" s="43">
        <f>_xlfn.STDEV.P(BF27:BI27)</f>
        <v>0.15337861650177956</v>
      </c>
      <c r="DX27" s="76">
        <f ca="1">BO27-$DT$2</f>
        <v>-0.21200000000000008</v>
      </c>
      <c r="DY27" s="76">
        <f ca="1">BO27-BP27*100</f>
        <v>-0.14369999999999994</v>
      </c>
      <c r="DZ27" s="101"/>
      <c r="EA27" s="100">
        <v>-2.0299999999999985E-2</v>
      </c>
      <c r="EB27" s="107">
        <v>1.2419</v>
      </c>
      <c r="EC27" s="107">
        <v>2.2346000000000004</v>
      </c>
      <c r="ED27" s="98">
        <f t="shared" ca="1" si="13"/>
        <v>-6.8300000000000138E-2</v>
      </c>
      <c r="EE27" s="66"/>
      <c r="EF27" s="66"/>
      <c r="EH27" s="5" t="e" vm="27">
        <v>#VALUE!</v>
      </c>
      <c r="EJ27" s="10" cm="1">
        <f t="array" aca="1" ref="EJ27" ca="1">_FV(EH27,"Ações em circulação",TRUE)</f>
        <v>1136271000</v>
      </c>
      <c r="EK27" s="21">
        <f>VLOOKUP(BK27,Fundamentus!A:U,5,FALSE)</f>
        <v>0.81799999999999995</v>
      </c>
      <c r="EL27" s="2">
        <f ca="1">(BJ27*EJ27)/EK27</f>
        <v>9056829975.5501213</v>
      </c>
      <c r="EM27" s="20">
        <v>1196165539.0929096</v>
      </c>
      <c r="EN27" s="20">
        <f t="shared" ca="1" si="14"/>
        <v>1207275435.7408311</v>
      </c>
      <c r="EO27" s="2"/>
      <c r="EP27" s="19">
        <f t="shared" ca="1" si="15"/>
        <v>9.2879256965943124E-3</v>
      </c>
      <c r="EQ27" s="40" t="str">
        <f>IF(VLOOKUP(BK27,Fundamentus!A:U,3,FALSE)&lt;15,"Bom",IF(VLOOKUP(BK27,Fundamentus!A:U,3,FALSE)&gt;15,"Ruim","n/a"))</f>
        <v>Bom</v>
      </c>
      <c r="ER27" s="36" t="str">
        <f>IF(VLOOKUP(BK27,Fundamentus!A:U,4,FALSE)&lt;1,"Baixo",IF(VLOOKUP(BK27,Fundamentus!A:U,4,FALSE)&lt;1.5,"Moderado",IF(VLOOKUP(BK27,Fundamentus!A:U,4,FALSE)&gt;1.5,"Alto","n/a")))</f>
        <v>Alto</v>
      </c>
      <c r="ES27" s="20" t="str">
        <f>IF(VLOOKUP(BK27,Fundamentus!A:U,8,FALSE)&lt;0,"Risco elevado",IF(VLOOKUP(BK27,Fundamentus!A:U,8,FALSE)&lt;1,"Saudável",IF(VLOOKUP(BK27,Fundamentus!A:U,8,FALSE)&lt;3,"Estável",IF(VLOOKUP(BK27,Fundamentus!A:U,8,FALSE)&gt;3,"Alerta","n/a"))))</f>
        <v>Alerta</v>
      </c>
      <c r="ET27" s="36" t="str">
        <f t="shared" si="16"/>
        <v>Ruim</v>
      </c>
      <c r="EU27" s="20" t="str">
        <f>IF(VLOOKUP(BK27,Fundamentus!A:U,12,FALSE)&lt;2,"Subvalorizada",IF(VLOOKUP(BK27,Fundamentus!A:U,12,FALSE)&lt;6,"Muita barata",IF(VLOOKUP(BK27,Fundamentus!A:U,12,FALSE)&lt;6,"Barata",IF(VLOOKUP(BK27,Fundamentus!A:U,12,FALSE)&lt;8,"Atrativa",IF(VLOOKUP(BK27,Fundamentus!A:U,12,FALSE)&gt;8,"Supervalorizada","n/a")))))</f>
        <v>Muita barata</v>
      </c>
      <c r="EV27" s="2"/>
      <c r="EW27" s="20" t="str">
        <f>IF(VLOOKUP(BK27,Fundamentus!A:U,17,FALSE)&lt;0.1,"Fraco retorno",IF(VLOOKUP(BK27,Fundamentus!A:U,17,FALSE)&gt;0.1,"Bom retorno","n/a"))</f>
        <v>Bom retorno</v>
      </c>
      <c r="EX27" s="20" t="str">
        <f>IF(VLOOKUP(BK27,Fundamentus!A:U,16,FALSE)&lt;0.1,"Ineficiente",IF(VLOOKUP(BK27,Fundamentus!A:U,16,FALSE)&gt;0.1,"Eficiente","n/a"))</f>
        <v>Eficiente</v>
      </c>
      <c r="EY27" s="41" t="str">
        <f>IF(VLOOKUP(BK27,Fundamentus!A:U,16,FALSE)&lt;0.1,"Oper. Ineficiente",IF(VLOOKUP(BK27,Fundamentus!A:U,16,FALSE)&gt;0.1,"Oper.Eficiente","n/a"))</f>
        <v>Oper.Eficiente</v>
      </c>
      <c r="EZ27" s="42">
        <f>VLOOKUP(BK27,Fundamentus!A:U,14,FALSE)</f>
        <v>0.1333</v>
      </c>
      <c r="FA27" s="20" t="str">
        <f>IF(VLOOKUP(BK27,Fundamentus!A:U,21,FALSE)&lt;0,"Negativo",IF(VLOOKUP(BK27,Fundamentus!A:U,21,FALSE)&lt;0.05,"Fraco",IF(VLOOKUP(BK27,Fundamentus!A:U,21,FALSE)&lt;0.1,"Bom",IF(VLOOKUP(BK27,Fundamentus!A:U,21,FALSE)&gt;0.1,"Muito bom","n/a"))))</f>
        <v>Muito bom</v>
      </c>
      <c r="FC27" s="37" t="str">
        <f>IF(VLOOKUP(BK27,Fundamentus!A:U,15,FALSE)&gt;1,"Bom",IF(VLOOKUP(BK27,Fundamentus!A:U,15,FALSE)&lt;1,"Ruim","n/a"))</f>
        <v>Bom</v>
      </c>
      <c r="FD27" s="20" t="str">
        <f>IF(VLOOKUP(BK27,Fundamentus!A:U,20,FALSE)&lt;0.5,"Baixa",IF(VLOOKUP(BK27,Fundamentus!A:U,20,FALSE)&lt;1,"Moderada",IF(VLOOKUP(BK27,Fundamentus!A:U,20,FALSE)&lt;2,"Alerta",IF(VLOOKUP(BK27,Fundamentus!A:U,20,FALSE)&gt;2,"Alta","n/a"))))</f>
        <v>Moderada</v>
      </c>
    </row>
    <row r="28" spans="1:161" s="2" customFormat="1" ht="11.25" hidden="1"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8">
        <v>19.079999999999998</v>
      </c>
      <c r="BC28" s="62">
        <v>19.37</v>
      </c>
      <c r="BD28" s="62">
        <v>19.149999999999999</v>
      </c>
      <c r="BE28" s="62">
        <v>19.059999999999999</v>
      </c>
      <c r="BF28" s="62">
        <v>20.059999999999999</v>
      </c>
      <c r="BG28" s="81">
        <v>19.100000000000001</v>
      </c>
      <c r="BH28" s="62">
        <v>19.45</v>
      </c>
      <c r="BI28" s="62">
        <v>19.690000000000001</v>
      </c>
      <c r="BJ28" s="62" cm="1">
        <f t="array" aca="1" ref="BJ28" ca="1">_FV(EH28,"Preço")</f>
        <v>20.34</v>
      </c>
      <c r="BK28" s="83" t="s">
        <v>25</v>
      </c>
      <c r="BL28" s="44" cm="1">
        <f t="array" aca="1" ref="BL28" ca="1">_FV(EH28,"Média de volume",TRUE)</f>
        <v>498340</v>
      </c>
      <c r="BM28" s="44">
        <v>210000</v>
      </c>
      <c r="BN28" s="44" cm="1">
        <f t="array" aca="1" ref="BN28" ca="1">_FV(EH28,"Volume")</f>
        <v>172800</v>
      </c>
      <c r="BO28" s="32" cm="1">
        <f t="array" aca="1" ref="BO28" ca="1">_FV(EH28,"Beta")</f>
        <v>1.2369000000000001</v>
      </c>
      <c r="BP28" s="86" cm="1">
        <f t="array" aca="1" ref="BP28" ca="1">_FV(EH28,"Variação (%)",TRUE)</f>
        <v>3.3012E-2</v>
      </c>
      <c r="BQ28" s="48"/>
      <c r="BR28" s="48"/>
      <c r="BT28" s="20" cm="1">
        <f t="array" aca="1" ref="BT28" ca="1">_FV(EH28,"Baixo")</f>
        <v>19.579999999999998</v>
      </c>
      <c r="BU28" s="20" cm="1">
        <f t="array" aca="1" ref="BU28" ca="1">_FV(EH28,"Alto")</f>
        <v>20.76</v>
      </c>
      <c r="BV28" s="32"/>
      <c r="BW28" s="73">
        <f ca="1">SQRT(22.5*(BJ28/VLOOKUP(BK28,Fundamentus!A:U,3,FALSE))*(BJ28/VLOOKUP(BK28,Fundamentus!A:U,4,FALSE)))</f>
        <v>22.799787056698417</v>
      </c>
      <c r="BY28" s="72">
        <f t="shared" ca="1" si="0"/>
        <v>3.3011681056373719E-2</v>
      </c>
      <c r="BZ28" s="8"/>
      <c r="CA28" s="71">
        <f t="shared" si="36"/>
        <v>11.86</v>
      </c>
      <c r="CB28" s="71">
        <f t="shared" si="1"/>
        <v>20.059999999999999</v>
      </c>
      <c r="CC28" s="71">
        <f t="shared" si="37"/>
        <v>15.206065573770491</v>
      </c>
      <c r="CD28" s="17"/>
      <c r="CE28" s="43">
        <f t="shared" si="19"/>
        <v>18.685214318523155</v>
      </c>
      <c r="CF28" s="18">
        <f>FORECAST("04/07/2025", BF28:BI28, $BF$5:$BI$5)</f>
        <v>19.384999999999991</v>
      </c>
      <c r="CG28" s="43">
        <f t="shared" si="20"/>
        <v>20.084785681476827</v>
      </c>
      <c r="CI28" s="17"/>
      <c r="CJ28" s="20">
        <f>CA28-2*(CB28-CM28)</f>
        <v>6.1466666666666683</v>
      </c>
      <c r="CK28" s="20">
        <f>CM28-(CB28-CA28)</f>
        <v>9.0033333333333339</v>
      </c>
      <c r="CL28" s="20">
        <f>2*CM28-CB28</f>
        <v>14.346666666666668</v>
      </c>
      <c r="CM28" s="48">
        <f>(CB28+CA28+BI28)/3</f>
        <v>17.203333333333333</v>
      </c>
      <c r="CN28" s="20">
        <f>2*CM28-CA28</f>
        <v>22.546666666666667</v>
      </c>
      <c r="CO28" s="20">
        <f>CM28+(CB28-CA28)</f>
        <v>25.403333333333332</v>
      </c>
      <c r="CP28" s="20">
        <f>CB28+2*(CM28-CA28)</f>
        <v>30.746666666666666</v>
      </c>
      <c r="CQ28" s="2" cm="1">
        <f t="array" aca="1" ref="CQ28" ca="1">MAX(_xlfn._xlws.FILTER(CJ28:CP28,CJ28:CP28&lt;BJ28))</f>
        <v>17.203333333333333</v>
      </c>
      <c r="CR28" s="2" cm="1">
        <f t="array" aca="1" ref="CR28" ca="1">MIN(_xlfn._xlws.FILTER($CJ28:$CP28,$CJ28:$CP28&gt;BJ28))</f>
        <v>22.546666666666667</v>
      </c>
      <c r="CS28" s="19">
        <f t="shared" ca="1" si="55"/>
        <v>0.31059872117806631</v>
      </c>
      <c r="CT28" s="23">
        <f t="shared" ca="1" si="56"/>
        <v>-0.15529936058903315</v>
      </c>
      <c r="CU28" s="23">
        <f t="shared" ca="1" si="57"/>
        <v>-0.10353290705935543</v>
      </c>
      <c r="CV28" s="23">
        <f t="shared" ca="1" si="58"/>
        <v>-6.2119744235613263E-2</v>
      </c>
      <c r="CW28" s="23">
        <f t="shared" ca="1" si="59"/>
        <v>-3.4510969019785148E-2</v>
      </c>
      <c r="CX28" s="23">
        <f t="shared" ca="1" si="60"/>
        <v>-1.8270513010474488E-2</v>
      </c>
      <c r="CY28" s="23">
        <f t="shared" ca="1" si="61"/>
        <v>-9.4120824599414031E-3</v>
      </c>
      <c r="CZ28" s="23">
        <f t="shared" ca="1" si="62"/>
        <v>-4.7784418642779431E-3</v>
      </c>
      <c r="DA28" s="24">
        <f t="shared" ca="1" si="63"/>
        <v>4.7784418642779431E-3</v>
      </c>
      <c r="DB28" s="24">
        <f t="shared" ca="1" si="64"/>
        <v>9.4120824599414031E-3</v>
      </c>
      <c r="DC28" s="24">
        <f t="shared" ca="1" si="65"/>
        <v>1.8270513010474488E-2</v>
      </c>
      <c r="DD28" s="24">
        <f t="shared" ca="1" si="66"/>
        <v>3.4510969019785148E-2</v>
      </c>
      <c r="DE28" s="24">
        <f t="shared" ca="1" si="67"/>
        <v>6.2119744235613263E-2</v>
      </c>
      <c r="DF28" s="24">
        <f t="shared" ca="1" si="68"/>
        <v>0.10353290705935543</v>
      </c>
      <c r="DG28" s="24">
        <f t="shared" ca="1" si="69"/>
        <v>0.15529936058903315</v>
      </c>
      <c r="DI28" s="19" cm="1">
        <f t="array" aca="1" ref="DI28" ca="1">MAX(_xlfn._xlws.FILTER(CT28:DG28,CT28:DG28&lt;BP28))</f>
        <v>1.8270513010474488E-2</v>
      </c>
      <c r="DJ28" s="19" cm="1">
        <f t="array" aca="1" ref="DJ28" ca="1">MIN(_xlfn._xlws.FILTER(CT28:DG28,CT28:DG28&gt;BP28))</f>
        <v>3.4510969019785148E-2</v>
      </c>
      <c r="DK28" s="2" cm="1">
        <f t="array" aca="1" ref="DK28" ca="1">_FV(EH28,"Fechamento anterior",TRUE)</f>
        <v>19.690000000000001</v>
      </c>
      <c r="DL28" s="36">
        <f ca="1">(BJ28-DM28)/(DN28-DM28)</f>
        <v>0.9076819048337138</v>
      </c>
      <c r="DM28" s="18">
        <f t="shared" ca="1" si="70"/>
        <v>20.049746401176243</v>
      </c>
      <c r="DN28" s="18">
        <f t="shared" ca="1" si="71"/>
        <v>20.369520979999571</v>
      </c>
      <c r="DO28" s="9"/>
      <c r="DP28" s="9"/>
      <c r="DQ28" s="94">
        <v>4.2251454838867445E-3</v>
      </c>
      <c r="DR28" s="94">
        <v>9.2901423207893078E-3</v>
      </c>
      <c r="DS28" s="94">
        <v>1.5823603713012706E-2</v>
      </c>
      <c r="DT28" s="94">
        <f t="shared" ca="1" si="12"/>
        <v>1.624045600931066E-2</v>
      </c>
      <c r="DU28" s="87">
        <f ca="1">(BJ28-CF28)/(CF28-CE28)</f>
        <v>1.364703544640361</v>
      </c>
      <c r="DV28" s="46"/>
      <c r="DW28" s="43">
        <f>_xlfn.STDEV.P(BF28:BI28)</f>
        <v>0.34989284073841731</v>
      </c>
      <c r="DX28" s="76">
        <f ca="1">BO28-$DT$2</f>
        <v>0.23980000000000001</v>
      </c>
      <c r="DY28" s="76">
        <f ca="1">BO28-BP28*100</f>
        <v>-2.0643000000000002</v>
      </c>
      <c r="DZ28" s="101"/>
      <c r="EA28" s="100">
        <v>0.29869999999999997</v>
      </c>
      <c r="EB28" s="107">
        <v>2.5968</v>
      </c>
      <c r="EC28" s="107">
        <v>-2.179999999999982E-2</v>
      </c>
      <c r="ED28" s="98">
        <f t="shared" ca="1" si="13"/>
        <v>2.3041</v>
      </c>
      <c r="EE28" s="66"/>
      <c r="EF28" s="66"/>
      <c r="EH28" s="2" t="e" vm="28">
        <v>#VALUE!</v>
      </c>
      <c r="EJ28" s="10" cm="1">
        <f t="array" aca="1" ref="EJ28" ca="1">_FV(EH28,"Ações em circulação",TRUE)</f>
        <v>85608390</v>
      </c>
      <c r="EK28" s="21">
        <f>VLOOKUP(BK28,Fundamentus!A:U,5,FALSE)</f>
        <v>1.0660000000000001</v>
      </c>
      <c r="EL28" s="2">
        <f ca="1">(BJ28*EJ28)/EK28</f>
        <v>1633465903.0018759</v>
      </c>
      <c r="EM28" s="20">
        <v>133616948.70914635</v>
      </c>
      <c r="EN28" s="20">
        <f t="shared" ca="1" si="14"/>
        <v>138027868.80365852</v>
      </c>
      <c r="EP28" s="19">
        <f t="shared" ca="1" si="15"/>
        <v>3.3011681056373643E-2</v>
      </c>
      <c r="EQ28" s="40" t="str">
        <f>IF(VLOOKUP(BK28,Fundamentus!A:U,3,FALSE)&lt;15,"Bom",IF(VLOOKUP(BK28,Fundamentus!A:U,3,FALSE)&gt;15,"Ruim","n/a"))</f>
        <v>Bom</v>
      </c>
      <c r="ER28" s="36" t="str">
        <f>IF(VLOOKUP(BK28,Fundamentus!A:U,4,FALSE)&lt;1,"Baixo",IF(VLOOKUP(BK28,Fundamentus!A:U,4,FALSE)&lt;1.5,"Moderado",IF(VLOOKUP(BK28,Fundamentus!A:U,4,FALSE)&gt;1.5,"Alto","n/a")))</f>
        <v>Moderado</v>
      </c>
      <c r="ES28" s="20" t="str">
        <f>IF(VLOOKUP(BK28,Fundamentus!A:U,8,FALSE)&lt;0,"Risco elevado",IF(VLOOKUP(BK28,Fundamentus!A:U,8,FALSE)&lt;1,"Saudável",IF(VLOOKUP(BK28,Fundamentus!A:U,8,FALSE)&lt;3,"Estável",IF(VLOOKUP(BK28,Fundamentus!A:U,8,FALSE)&gt;3,"Alerta","n/a"))))</f>
        <v>Estável</v>
      </c>
      <c r="ET28" s="36" t="str">
        <f t="shared" si="16"/>
        <v>Bom</v>
      </c>
      <c r="EU28" s="20" t="str">
        <f>IF(VLOOKUP(BK28,Fundamentus!A:U,12,FALSE)&lt;2,"Subvalorizada",IF(VLOOKUP(BK28,Fundamentus!A:U,12,FALSE)&lt;6,"Muita barata",IF(VLOOKUP(BK28,Fundamentus!A:U,12,FALSE)&lt;6,"Barata",IF(VLOOKUP(BK28,Fundamentus!A:U,12,FALSE)&lt;8,"Atrativa",IF(VLOOKUP(BK28,Fundamentus!A:U,12,FALSE)&gt;8,"Supervalorizada","n/a")))))</f>
        <v>Muita barata</v>
      </c>
      <c r="EW28" s="20" t="str">
        <f>IF(VLOOKUP(BK28,Fundamentus!A:U,17,FALSE)&lt;0.1,"Fraco retorno",IF(VLOOKUP(BK28,Fundamentus!A:U,17,FALSE)&gt;0.1,"Bom retorno","n/a"))</f>
        <v>Bom retorno</v>
      </c>
      <c r="EX28" s="20" t="str">
        <f>IF(VLOOKUP(BK28,Fundamentus!A:U,16,FALSE)&lt;0.1,"Ineficiente",IF(VLOOKUP(BK28,Fundamentus!A:U,16,FALSE)&gt;0.1,"Eficiente","n/a"))</f>
        <v>Eficiente</v>
      </c>
      <c r="EY28" s="41" t="str">
        <f>IF(VLOOKUP(BK28,Fundamentus!A:U,16,FALSE)&lt;0.1,"Oper. Ineficiente",IF(VLOOKUP(BK28,Fundamentus!A:U,16,FALSE)&gt;0.1,"Oper.Eficiente","n/a"))</f>
        <v>Oper.Eficiente</v>
      </c>
      <c r="EZ28" s="42">
        <f>VLOOKUP(BK28,Fundamentus!A:U,14,FALSE)</f>
        <v>8.4500000000000006E-2</v>
      </c>
      <c r="FA28" s="20" t="str">
        <f>IF(VLOOKUP(BK28,Fundamentus!A:U,21,FALSE)&lt;0,"Negativo",IF(VLOOKUP(BK28,Fundamentus!A:U,21,FALSE)&lt;0.05,"Fraco",IF(VLOOKUP(BK28,Fundamentus!A:U,21,FALSE)&lt;0.1,"Bom",IF(VLOOKUP(BK28,Fundamentus!A:U,21,FALSE)&gt;0.1,"Muito bom","n/a"))))</f>
        <v>Muito bom</v>
      </c>
      <c r="FC28" s="37" t="str">
        <f>IF(VLOOKUP(BK28,Fundamentus!A:U,15,FALSE)&gt;1,"Bom",IF(VLOOKUP(BK28,Fundamentus!A:U,15,FALSE)&lt;1,"Ruim","n/a"))</f>
        <v>Bom</v>
      </c>
      <c r="FD28" s="20" t="str">
        <f>IF(VLOOKUP(BK28,Fundamentus!A:U,20,FALSE)&lt;0.5,"Baixa",IF(VLOOKUP(BK28,Fundamentus!A:U,20,FALSE)&lt;1,"Moderada",IF(VLOOKUP(BK28,Fundamentus!A:U,20,FALSE)&lt;2,"Alerta",IF(VLOOKUP(BK28,Fundamentus!A:U,20,FALSE)&gt;2,"Alta","n/a"))))</f>
        <v>Baixa</v>
      </c>
    </row>
    <row r="29" spans="1:161" s="2" customFormat="1" ht="11.25" hidden="1"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8">
        <v>41.32</v>
      </c>
      <c r="BC29" s="62">
        <v>42.19</v>
      </c>
      <c r="BD29" s="62">
        <v>41.6</v>
      </c>
      <c r="BE29" s="62">
        <v>43.96</v>
      </c>
      <c r="BF29" s="62">
        <v>40.89</v>
      </c>
      <c r="BG29" s="81">
        <v>42.15</v>
      </c>
      <c r="BH29" s="62">
        <v>43.2</v>
      </c>
      <c r="BI29" s="62">
        <v>42.23</v>
      </c>
      <c r="BJ29" s="62" cm="1">
        <f t="array" aca="1" ref="BJ29" ca="1">_FV(EH29,"Preço")</f>
        <v>42.29</v>
      </c>
      <c r="BK29" s="83" t="s">
        <v>26</v>
      </c>
      <c r="BL29" s="44" cm="1">
        <f t="array" aca="1" ref="BL29" ca="1">_FV(EH29,"Média de volume",TRUE)</f>
        <v>6100</v>
      </c>
      <c r="BM29" s="44">
        <v>8600</v>
      </c>
      <c r="BN29" s="44" cm="1">
        <f t="array" aca="1" ref="BN29" ca="1">_FV(EH29,"Volume")</f>
        <v>2800</v>
      </c>
      <c r="BO29" s="32" cm="1">
        <f t="array" aca="1" ref="BO29" ca="1">_FV(EH29,"Beta")</f>
        <v>0.52400000000000002</v>
      </c>
      <c r="BP29" s="86" cm="1">
        <f t="array" aca="1" ref="BP29" ca="1">_FV(EH29,"Variação (%)",TRUE)</f>
        <v>1.421E-3</v>
      </c>
      <c r="BQ29" s="48"/>
      <c r="BR29" s="48"/>
      <c r="BT29" s="20" cm="1">
        <f t="array" aca="1" ref="BT29" ca="1">_FV(EH29,"Baixo")</f>
        <v>42.08</v>
      </c>
      <c r="BU29" s="20" cm="1">
        <f t="array" aca="1" ref="BU29" ca="1">_FV(EH29,"Alto")</f>
        <v>43.48</v>
      </c>
      <c r="BV29" s="32"/>
      <c r="BW29" s="73">
        <f ca="1">SQRT(22.5*(BJ29/VLOOKUP(BK29,Fundamentus!A:U,3,FALSE))*(BJ29/VLOOKUP(BK29,Fundamentus!A:U,4,FALSE)))</f>
        <v>70.640487002977665</v>
      </c>
      <c r="BY29" s="72">
        <f t="shared" ca="1" si="0"/>
        <v>1.4207909069382494E-3</v>
      </c>
      <c r="BZ29" s="8"/>
      <c r="CA29" s="71">
        <f t="shared" si="36"/>
        <v>33</v>
      </c>
      <c r="CB29" s="71">
        <f t="shared" si="1"/>
        <v>48.25</v>
      </c>
      <c r="CC29" s="71">
        <f t="shared" si="37"/>
        <v>40.934180327868852</v>
      </c>
      <c r="CD29" s="17"/>
      <c r="CE29" s="43">
        <f t="shared" si="19"/>
        <v>41.744184653898927</v>
      </c>
      <c r="CF29" s="18">
        <f>FORECAST("04/07/2025", BF29:BI29, $BF$5:$BI$5)</f>
        <v>43.384999999999764</v>
      </c>
      <c r="CG29" s="43">
        <f t="shared" si="20"/>
        <v>45.0258153461006</v>
      </c>
      <c r="CI29" s="17"/>
      <c r="CJ29" s="20">
        <f>CA29-2*(CB29-CM29)</f>
        <v>18.819999999999993</v>
      </c>
      <c r="CK29" s="20">
        <f>CM29-(CB29-CA29)</f>
        <v>25.909999999999997</v>
      </c>
      <c r="CL29" s="20">
        <f>2*CM29-CB29</f>
        <v>34.069999999999993</v>
      </c>
      <c r="CM29" s="48">
        <f>(CB29+CA29+BI29)/3</f>
        <v>41.16</v>
      </c>
      <c r="CN29" s="20">
        <f>2*CM29-CA29</f>
        <v>49.319999999999993</v>
      </c>
      <c r="CO29" s="20">
        <f>CM29+(CB29-CA29)</f>
        <v>56.41</v>
      </c>
      <c r="CP29" s="20">
        <f>CB29+2*(CM29-CA29)</f>
        <v>64.569999999999993</v>
      </c>
      <c r="CQ29" s="2" cm="1">
        <f t="array" aca="1" ref="CQ29" ca="1">MAX(_xlfn._xlws.FILTER(CJ29:CP29,CJ29:CP29&lt;BJ29))</f>
        <v>41.16</v>
      </c>
      <c r="CR29" s="2" cm="1">
        <f t="array" aca="1" ref="CR29" ca="1">MIN(_xlfn._xlws.FILTER($CJ29:$CP29,$CJ29:$CP29&gt;BJ29))</f>
        <v>49.319999999999993</v>
      </c>
      <c r="CS29" s="19">
        <f t="shared" ca="1" si="55"/>
        <v>0.19825072886297379</v>
      </c>
      <c r="CT29" s="23">
        <f t="shared" ca="1" si="56"/>
        <v>-9.9125364431486895E-2</v>
      </c>
      <c r="CU29" s="23">
        <f t="shared" ca="1" si="57"/>
        <v>-6.608357628765793E-2</v>
      </c>
      <c r="CV29" s="23">
        <f t="shared" ca="1" si="58"/>
        <v>-3.9650145772594757E-2</v>
      </c>
      <c r="CW29" s="23">
        <f t="shared" ca="1" si="59"/>
        <v>-2.2027858762552643E-2</v>
      </c>
      <c r="CX29" s="23">
        <f t="shared" ca="1" si="60"/>
        <v>-1.1661807580174929E-2</v>
      </c>
      <c r="CY29" s="23">
        <f t="shared" ca="1" si="61"/>
        <v>-6.0075978443325387E-3</v>
      </c>
      <c r="CZ29" s="23">
        <f t="shared" ca="1" si="62"/>
        <v>-3.0500112132765198E-3</v>
      </c>
      <c r="DA29" s="24">
        <f t="shared" ca="1" si="63"/>
        <v>3.0500112132765198E-3</v>
      </c>
      <c r="DB29" s="24">
        <f t="shared" ca="1" si="64"/>
        <v>6.0075978443325387E-3</v>
      </c>
      <c r="DC29" s="24">
        <f t="shared" ca="1" si="65"/>
        <v>1.1661807580174929E-2</v>
      </c>
      <c r="DD29" s="24">
        <f t="shared" ca="1" si="66"/>
        <v>2.2027858762552643E-2</v>
      </c>
      <c r="DE29" s="24">
        <f t="shared" ca="1" si="67"/>
        <v>3.9650145772594757E-2</v>
      </c>
      <c r="DF29" s="24">
        <f t="shared" ca="1" si="68"/>
        <v>6.608357628765793E-2</v>
      </c>
      <c r="DG29" s="24">
        <f t="shared" ca="1" si="69"/>
        <v>9.9125364431486895E-2</v>
      </c>
      <c r="DI29" s="19" cm="1">
        <f t="array" aca="1" ref="DI29" ca="1">MAX(_xlfn._xlws.FILTER(CT29:DG29,CT29:DG29&lt;BP29))</f>
        <v>-3.0500112132765198E-3</v>
      </c>
      <c r="DJ29" s="19" cm="1">
        <f t="array" aca="1" ref="DJ29" ca="1">MIN(_xlfn._xlws.FILTER(CT29:DG29,CT29:DG29&gt;BP29))</f>
        <v>3.0500112132765198E-3</v>
      </c>
      <c r="DK29" s="2" cm="1">
        <f t="array" aca="1" ref="DK29" ca="1">_FV(EH29,"Fechamento anterior",TRUE)</f>
        <v>42.23</v>
      </c>
      <c r="DL29" s="36">
        <f ca="1">(BJ29-DM29)/(DN29-DM29)</f>
        <v>0.73291568581020783</v>
      </c>
      <c r="DM29" s="18">
        <f t="shared" ca="1" si="70"/>
        <v>42.101198026463329</v>
      </c>
      <c r="DN29" s="18">
        <f t="shared" ca="1" si="71"/>
        <v>42.358801973536664</v>
      </c>
      <c r="DO29" s="9"/>
      <c r="DP29" s="9"/>
      <c r="DQ29" s="94">
        <v>7.2468072468072457E-3</v>
      </c>
      <c r="DR29" s="94">
        <v>1.1864818867007049E-2</v>
      </c>
      <c r="DS29" s="94">
        <v>5.6393855612084246E-3</v>
      </c>
      <c r="DT29" s="94">
        <f t="shared" ca="1" si="12"/>
        <v>6.1000224265530395E-3</v>
      </c>
      <c r="DU29" s="87">
        <f ca="1">(BJ29-CF29)/(CF29-CE29)</f>
        <v>-0.66735114502791271</v>
      </c>
      <c r="DV29" s="46"/>
      <c r="DW29" s="43">
        <f>_xlfn.STDEV.P(BF29:BI29)</f>
        <v>0.82040767305041762</v>
      </c>
      <c r="DX29" s="76">
        <f ca="1">BO29-$DT$2</f>
        <v>-0.47310000000000008</v>
      </c>
      <c r="DY29" s="76">
        <f ca="1">BO29-BP29*100</f>
        <v>0.38190000000000002</v>
      </c>
      <c r="DZ29" s="101"/>
      <c r="EA29" s="100">
        <v>0.27505000000000002</v>
      </c>
      <c r="EB29" s="107">
        <v>3.4179000000000004</v>
      </c>
      <c r="EC29" s="107">
        <v>4.1957000000000004</v>
      </c>
      <c r="ED29" s="98">
        <f t="shared" ca="1" si="13"/>
        <v>-0.85500000000000009</v>
      </c>
      <c r="EE29" s="66"/>
      <c r="EF29" s="66"/>
      <c r="EH29" s="2" t="e" vm="29">
        <v>#VALUE!</v>
      </c>
      <c r="EJ29" s="10" cm="1">
        <f t="array" aca="1" ref="EJ29" ca="1">_FV(EH29,"Ações em circulação",TRUE)</f>
        <v>9137260</v>
      </c>
      <c r="EK29" s="21">
        <f>VLOOKUP(BK29,Fundamentus!A:U,5,FALSE)</f>
        <v>0.71199999999999997</v>
      </c>
      <c r="EL29" s="2">
        <f ca="1">(BJ29*EJ29)/EK29</f>
        <v>542717310.95505619</v>
      </c>
      <c r="EM29" s="20">
        <v>38261480.589719094</v>
      </c>
      <c r="EN29" s="20">
        <f t="shared" ca="1" si="14"/>
        <v>38315842.153426968</v>
      </c>
      <c r="EP29" s="19">
        <f t="shared" ca="1" si="15"/>
        <v>1.4207909069383629E-3</v>
      </c>
      <c r="EQ29" s="40" t="str">
        <f>IF(VLOOKUP(BK29,Fundamentus!A:U,3,FALSE)&lt;15,"Bom",IF(VLOOKUP(BK29,Fundamentus!A:U,3,FALSE)&gt;15,"Ruim","n/a"))</f>
        <v>Bom</v>
      </c>
      <c r="ER29" s="36" t="str">
        <f>IF(VLOOKUP(BK29,Fundamentus!A:U,4,FALSE)&lt;1,"Baixo",IF(VLOOKUP(BK29,Fundamentus!A:U,4,FALSE)&lt;1.5,"Moderado",IF(VLOOKUP(BK29,Fundamentus!A:U,4,FALSE)&gt;1.5,"Alto","n/a")))</f>
        <v>Baixo</v>
      </c>
      <c r="ES29" s="20" t="str">
        <f>IF(VLOOKUP(BK29,Fundamentus!A:U,8,FALSE)&lt;0,"Risco elevado",IF(VLOOKUP(BK29,Fundamentus!A:U,8,FALSE)&lt;1,"Saudável",IF(VLOOKUP(BK29,Fundamentus!A:U,8,FALSE)&lt;3,"Estável",IF(VLOOKUP(BK29,Fundamentus!A:U,8,FALSE)&gt;3,"Alerta","n/a"))))</f>
        <v>Estável</v>
      </c>
      <c r="ET29" s="36" t="str">
        <f t="shared" si="16"/>
        <v>Ruim</v>
      </c>
      <c r="EU29" s="20" t="str">
        <f>IF(VLOOKUP(BK29,Fundamentus!A:U,12,FALSE)&lt;2,"Subvalorizada",IF(VLOOKUP(BK29,Fundamentus!A:U,12,FALSE)&lt;6,"Muita barata",IF(VLOOKUP(BK29,Fundamentus!A:U,12,FALSE)&lt;6,"Barata",IF(VLOOKUP(BK29,Fundamentus!A:U,12,FALSE)&lt;8,"Atrativa",IF(VLOOKUP(BK29,Fundamentus!A:U,12,FALSE)&gt;8,"Supervalorizada","n/a")))))</f>
        <v>Muita barata</v>
      </c>
      <c r="EW29" s="20" t="str">
        <f>IF(VLOOKUP(BK29,Fundamentus!A:U,17,FALSE)&lt;0.1,"Fraco retorno",IF(VLOOKUP(BK29,Fundamentus!A:U,17,FALSE)&gt;0.1,"Bom retorno","n/a"))</f>
        <v>Fraco retorno</v>
      </c>
      <c r="EX29" s="20" t="str">
        <f>IF(VLOOKUP(BK29,Fundamentus!A:U,16,FALSE)&lt;0.1,"Ineficiente",IF(VLOOKUP(BK29,Fundamentus!A:U,16,FALSE)&gt;0.1,"Eficiente","n/a"))</f>
        <v>Eficiente</v>
      </c>
      <c r="EY29" s="41" t="str">
        <f>IF(VLOOKUP(BK29,Fundamentus!A:U,16,FALSE)&lt;0.1,"Oper. Ineficiente",IF(VLOOKUP(BK29,Fundamentus!A:U,16,FALSE)&gt;0.1,"Oper.Eficiente","n/a"))</f>
        <v>Oper.Eficiente</v>
      </c>
      <c r="EZ29" s="42">
        <f>VLOOKUP(BK29,Fundamentus!A:U,14,FALSE)</f>
        <v>7.0599999999999996E-2</v>
      </c>
      <c r="FA29" s="20" t="str">
        <f>IF(VLOOKUP(BK29,Fundamentus!A:U,21,FALSE)&lt;0,"Negativo",IF(VLOOKUP(BK29,Fundamentus!A:U,21,FALSE)&lt;0.05,"Fraco",IF(VLOOKUP(BK29,Fundamentus!A:U,21,FALSE)&lt;0.1,"Bom",IF(VLOOKUP(BK29,Fundamentus!A:U,21,FALSE)&gt;0.1,"Muito bom","n/a"))))</f>
        <v>Fraco</v>
      </c>
      <c r="FC29" s="37" t="str">
        <f>IF(VLOOKUP(BK29,Fundamentus!A:U,15,FALSE)&gt;1,"Bom",IF(VLOOKUP(BK29,Fundamentus!A:U,15,FALSE)&lt;1,"Ruim","n/a"))</f>
        <v>Bom</v>
      </c>
      <c r="FD29" s="20" t="str">
        <f>IF(VLOOKUP(BK29,Fundamentus!A:U,20,FALSE)&lt;0.5,"Baixa",IF(VLOOKUP(BK29,Fundamentus!A:U,20,FALSE)&lt;1,"Moderada",IF(VLOOKUP(BK29,Fundamentus!A:U,20,FALSE)&lt;2,"Alerta",IF(VLOOKUP(BK29,Fundamentus!A:U,20,FALSE)&gt;2,"Alta","n/a"))))</f>
        <v>Baixa</v>
      </c>
    </row>
    <row r="30" spans="1:161" s="2" customFormat="1" ht="11.25" hidden="1"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8">
        <v>9.84</v>
      </c>
      <c r="BC30" s="62">
        <v>10.1</v>
      </c>
      <c r="BD30" s="62">
        <v>9.7100000000000009</v>
      </c>
      <c r="BE30" s="62">
        <v>9.75</v>
      </c>
      <c r="BF30" s="62">
        <v>9.6</v>
      </c>
      <c r="BG30" s="81">
        <v>9.7200000000000006</v>
      </c>
      <c r="BH30" s="62">
        <v>9.58</v>
      </c>
      <c r="BI30" s="62">
        <v>10.06</v>
      </c>
      <c r="BJ30" s="62" cm="1">
        <f t="array" aca="1" ref="BJ30" ca="1">_FV(EH30,"Preço")</f>
        <v>10.16</v>
      </c>
      <c r="BK30" s="83" t="s">
        <v>27</v>
      </c>
      <c r="BL30" s="44" cm="1">
        <f t="array" aca="1" ref="BL30" ca="1">_FV(EH30,"Média de volume",TRUE)</f>
        <v>87500</v>
      </c>
      <c r="BM30" s="44">
        <v>39200</v>
      </c>
      <c r="BN30" s="44" cm="1">
        <f t="array" aca="1" ref="BN30" ca="1">_FV(EH30,"Volume")</f>
        <v>58200</v>
      </c>
      <c r="BO30" s="32" cm="1">
        <f t="array" aca="1" ref="BO30" ca="1">_FV(EH30,"Beta")</f>
        <v>0.14099999999999999</v>
      </c>
      <c r="BP30" s="86" cm="1">
        <f t="array" aca="1" ref="BP30" ca="1">_FV(EH30,"Variação (%)",TRUE)</f>
        <v>9.9399999999999992E-3</v>
      </c>
      <c r="BQ30" s="48"/>
      <c r="BR30" s="48"/>
      <c r="BT30" s="20" cm="1">
        <f t="array" aca="1" ref="BT30" ca="1">_FV(EH30,"Baixo")</f>
        <v>10</v>
      </c>
      <c r="BU30" s="20" cm="1">
        <f t="array" aca="1" ref="BU30" ca="1">_FV(EH30,"Alto")</f>
        <v>10.23</v>
      </c>
      <c r="BV30" s="32"/>
      <c r="BW30" s="73">
        <f ca="1">SQRT(22.5*(BJ30/VLOOKUP(BK30,Fundamentus!A:U,3,FALSE))*(BJ30/VLOOKUP(BK30,Fundamentus!A:U,4,FALSE)))</f>
        <v>17.445820296875592</v>
      </c>
      <c r="BY30" s="72">
        <f t="shared" ca="1" si="0"/>
        <v>9.9403578528826676E-3</v>
      </c>
      <c r="BZ30" s="8"/>
      <c r="CA30" s="71">
        <f t="shared" si="36"/>
        <v>9.5</v>
      </c>
      <c r="CB30" s="71">
        <f t="shared" si="1"/>
        <v>12.68</v>
      </c>
      <c r="CC30" s="71">
        <f t="shared" si="37"/>
        <v>10.816885245901643</v>
      </c>
      <c r="CD30" s="17"/>
      <c r="CE30" s="43">
        <f t="shared" si="19"/>
        <v>9.6652923187666406</v>
      </c>
      <c r="CF30" s="18">
        <f>FORECAST("04/07/2025", BF30:BI30, $BF$5:$BI$5)</f>
        <v>10.050000000000068</v>
      </c>
      <c r="CG30" s="43">
        <f t="shared" si="20"/>
        <v>10.434707681233496</v>
      </c>
      <c r="CI30" s="17"/>
      <c r="CJ30" s="20">
        <f>CA30-2*(CB30-CM30)</f>
        <v>5.6333333333333364</v>
      </c>
      <c r="CK30" s="20">
        <f>CM30-(CB30-CA30)</f>
        <v>7.5666666666666682</v>
      </c>
      <c r="CL30" s="20">
        <f>2*CM30-CB30</f>
        <v>8.8133333333333361</v>
      </c>
      <c r="CM30" s="48">
        <f>(CB30+CA30+BI30)/3</f>
        <v>10.746666666666668</v>
      </c>
      <c r="CN30" s="20">
        <f>2*CM30-CA30</f>
        <v>11.993333333333336</v>
      </c>
      <c r="CO30" s="20">
        <f>CM30+(CB30-CA30)</f>
        <v>13.926666666666668</v>
      </c>
      <c r="CP30" s="20">
        <f>CB30+2*(CM30-CA30)</f>
        <v>15.173333333333336</v>
      </c>
      <c r="CQ30" s="2" cm="1">
        <f t="array" aca="1" ref="CQ30" ca="1">MAX(_xlfn._xlws.FILTER(CJ30:CP30,CJ30:CP30&lt;BJ30))</f>
        <v>8.8133333333333361</v>
      </c>
      <c r="CR30" s="2" cm="1">
        <f t="array" aca="1" ref="CR30" ca="1">MIN(_xlfn._xlws.FILTER($CJ30:$CP30,$CJ30:$CP30&gt;BJ30))</f>
        <v>10.746666666666668</v>
      </c>
      <c r="CS30" s="19">
        <f t="shared" ca="1" si="55"/>
        <v>0.21936459909228412</v>
      </c>
      <c r="CT30" s="23">
        <f t="shared" ca="1" si="56"/>
        <v>-0.10968229954614206</v>
      </c>
      <c r="CU30" s="23">
        <f t="shared" ca="1" si="57"/>
        <v>-7.3121533030761368E-2</v>
      </c>
      <c r="CV30" s="23">
        <f t="shared" ca="1" si="58"/>
        <v>-4.3872919818456826E-2</v>
      </c>
      <c r="CW30" s="23">
        <f t="shared" ca="1" si="59"/>
        <v>-2.4373844343587123E-2</v>
      </c>
      <c r="CX30" s="23">
        <f t="shared" ca="1" si="60"/>
        <v>-1.2903799946604948E-2</v>
      </c>
      <c r="CY30" s="23">
        <f t="shared" ca="1" si="61"/>
        <v>-6.647412093705579E-3</v>
      </c>
      <c r="CZ30" s="23">
        <f t="shared" ca="1" si="62"/>
        <v>-3.3748399860351404E-3</v>
      </c>
      <c r="DA30" s="24">
        <f t="shared" ca="1" si="63"/>
        <v>3.3748399860351404E-3</v>
      </c>
      <c r="DB30" s="24">
        <f t="shared" ca="1" si="64"/>
        <v>6.647412093705579E-3</v>
      </c>
      <c r="DC30" s="24">
        <f t="shared" ca="1" si="65"/>
        <v>1.2903799946604948E-2</v>
      </c>
      <c r="DD30" s="24">
        <f t="shared" ca="1" si="66"/>
        <v>2.4373844343587123E-2</v>
      </c>
      <c r="DE30" s="24">
        <f t="shared" ca="1" si="67"/>
        <v>4.3872919818456826E-2</v>
      </c>
      <c r="DF30" s="24">
        <f t="shared" ca="1" si="68"/>
        <v>7.3121533030761368E-2</v>
      </c>
      <c r="DG30" s="24">
        <f t="shared" ca="1" si="69"/>
        <v>0.10968229954614206</v>
      </c>
      <c r="DI30" s="19" cm="1">
        <f t="array" aca="1" ref="DI30" ca="1">MAX(_xlfn._xlws.FILTER(CT30:DG30,CT30:DG30&lt;BP30))</f>
        <v>6.647412093705579E-3</v>
      </c>
      <c r="DJ30" s="19" cm="1">
        <f t="array" aca="1" ref="DJ30" ca="1">MIN(_xlfn._xlws.FILTER(CT30:DG30,CT30:DG30&gt;BP30))</f>
        <v>1.2903799946604948E-2</v>
      </c>
      <c r="DK30" s="2" cm="1">
        <f t="array" aca="1" ref="DK30" ca="1">_FV(EH30,"Fechamento anterior",TRUE)</f>
        <v>10.06</v>
      </c>
      <c r="DL30" s="36">
        <f ca="1">(BJ30-DM30)/(DN30-DM30)</f>
        <v>0.52633337903611677</v>
      </c>
      <c r="DM30" s="18">
        <f t="shared" ca="1" si="70"/>
        <v>10.126872965662679</v>
      </c>
      <c r="DN30" s="18">
        <f t="shared" ca="1" si="71"/>
        <v>10.189812227462847</v>
      </c>
      <c r="DO30" s="9"/>
      <c r="DP30" s="9"/>
      <c r="DQ30" s="94">
        <v>2.5484496124030989E-2</v>
      </c>
      <c r="DR30" s="94">
        <v>5.8810375670840737E-3</v>
      </c>
      <c r="DS30" s="94">
        <v>7.333970377448637E-3</v>
      </c>
      <c r="DT30" s="94">
        <f t="shared" ca="1" si="12"/>
        <v>6.2563878528993687E-3</v>
      </c>
      <c r="DU30" s="87">
        <f ca="1">(BJ30-CF30)/(CF30-CE30)</f>
        <v>0.28593138470034252</v>
      </c>
      <c r="DV30" s="46"/>
      <c r="DW30" s="43">
        <f>_xlfn.STDEV.P(BF30:BI30)</f>
        <v>0.19235384061671371</v>
      </c>
      <c r="DX30" s="76">
        <f ca="1">BO30-$DT$2</f>
        <v>-0.85610000000000008</v>
      </c>
      <c r="DY30" s="76">
        <f ca="1">BO30-BP30*100</f>
        <v>-0.85299999999999987</v>
      </c>
      <c r="DZ30" s="101"/>
      <c r="EA30" s="100">
        <v>1.8451</v>
      </c>
      <c r="EB30" s="107">
        <v>-1.4991999999999999</v>
      </c>
      <c r="EC30" s="107">
        <v>1.2864</v>
      </c>
      <c r="ED30" s="98">
        <f t="shared" ca="1" si="13"/>
        <v>-3.1000000000002137E-3</v>
      </c>
      <c r="EE30" s="66"/>
      <c r="EF30" s="66"/>
      <c r="EH30" s="2" t="e" vm="30">
        <v>#VALUE!</v>
      </c>
      <c r="EJ30" s="10" cm="1">
        <f t="array" aca="1" ref="EJ30" ca="1">_FV(EH30,"Ações em circulação",TRUE)</f>
        <v>42275080</v>
      </c>
      <c r="EK30" s="21">
        <f>VLOOKUP(BK30,Fundamentus!A:U,5,FALSE)</f>
        <v>0.96499999999999997</v>
      </c>
      <c r="EL30" s="2">
        <f ca="1">(BJ30*EJ30)/EK30</f>
        <v>445093070.25906736</v>
      </c>
      <c r="EM30" s="20">
        <v>77521281.776497409</v>
      </c>
      <c r="EN30" s="20">
        <f t="shared" ca="1" si="14"/>
        <v>78291871.058569953</v>
      </c>
      <c r="EP30" s="19">
        <f t="shared" ca="1" si="15"/>
        <v>9.9403578528827197E-3</v>
      </c>
      <c r="EQ30" s="40" t="str">
        <f>IF(VLOOKUP(BK30,Fundamentus!A:U,3,FALSE)&lt;15,"Bom",IF(VLOOKUP(BK30,Fundamentus!A:U,3,FALSE)&gt;15,"Ruim","n/a"))</f>
        <v>Bom</v>
      </c>
      <c r="ER30" s="36" t="str">
        <f>IF(VLOOKUP(BK30,Fundamentus!A:U,4,FALSE)&lt;1,"Baixo",IF(VLOOKUP(BK30,Fundamentus!A:U,4,FALSE)&lt;1.5,"Moderado",IF(VLOOKUP(BK30,Fundamentus!A:U,4,FALSE)&gt;1.5,"Alto","n/a")))</f>
        <v>Moderado</v>
      </c>
      <c r="ES30" s="20" t="str">
        <f>IF(VLOOKUP(BK30,Fundamentus!A:U,8,FALSE)&lt;0,"Risco elevado",IF(VLOOKUP(BK30,Fundamentus!A:U,8,FALSE)&lt;1,"Saudável",IF(VLOOKUP(BK30,Fundamentus!A:U,8,FALSE)&lt;3,"Estável",IF(VLOOKUP(BK30,Fundamentus!A:U,8,FALSE)&gt;3,"Alerta","n/a"))))</f>
        <v>Alerta</v>
      </c>
      <c r="ET30" s="36" t="str">
        <f t="shared" si="16"/>
        <v>Ruim</v>
      </c>
      <c r="EU30" s="20" t="str">
        <f>IF(VLOOKUP(BK30,Fundamentus!A:U,12,FALSE)&lt;2,"Subvalorizada",IF(VLOOKUP(BK30,Fundamentus!A:U,12,FALSE)&lt;6,"Muita barata",IF(VLOOKUP(BK30,Fundamentus!A:U,12,FALSE)&lt;6,"Barata",IF(VLOOKUP(BK30,Fundamentus!A:U,12,FALSE)&lt;8,"Atrativa",IF(VLOOKUP(BK30,Fundamentus!A:U,12,FALSE)&gt;8,"Supervalorizada","n/a")))))</f>
        <v>Muita barata</v>
      </c>
      <c r="EW30" s="20" t="str">
        <f>IF(VLOOKUP(BK30,Fundamentus!A:U,17,FALSE)&lt;0.1,"Fraco retorno",IF(VLOOKUP(BK30,Fundamentus!A:U,17,FALSE)&gt;0.1,"Bom retorno","n/a"))</f>
        <v>Bom retorno</v>
      </c>
      <c r="EX30" s="20" t="str">
        <f>IF(VLOOKUP(BK30,Fundamentus!A:U,16,FALSE)&lt;0.1,"Ineficiente",IF(VLOOKUP(BK30,Fundamentus!A:U,16,FALSE)&gt;0.1,"Eficiente","n/a"))</f>
        <v>Eficiente</v>
      </c>
      <c r="EY30" s="41" t="str">
        <f>IF(VLOOKUP(BK30,Fundamentus!A:U,16,FALSE)&lt;0.1,"Oper. Ineficiente",IF(VLOOKUP(BK30,Fundamentus!A:U,16,FALSE)&gt;0.1,"Oper.Eficiente","n/a"))</f>
        <v>Oper.Eficiente</v>
      </c>
      <c r="EZ30" s="42">
        <f>VLOOKUP(BK30,Fundamentus!A:U,14,FALSE)</f>
        <v>0.1759</v>
      </c>
      <c r="FA30" s="20" t="str">
        <f>IF(VLOOKUP(BK30,Fundamentus!A:U,21,FALSE)&lt;0,"Negativo",IF(VLOOKUP(BK30,Fundamentus!A:U,21,FALSE)&lt;0.05,"Fraco",IF(VLOOKUP(BK30,Fundamentus!A:U,21,FALSE)&lt;0.1,"Bom",IF(VLOOKUP(BK30,Fundamentus!A:U,21,FALSE)&gt;0.1,"Muito bom","n/a"))))</f>
        <v>Muito bom</v>
      </c>
      <c r="FC30" s="37" t="str">
        <f>IF(VLOOKUP(BK30,Fundamentus!A:U,15,FALSE)&gt;1,"Bom",IF(VLOOKUP(BK30,Fundamentus!A:U,15,FALSE)&lt;1,"Ruim","n/a"))</f>
        <v>Bom</v>
      </c>
      <c r="FD30" s="20" t="str">
        <f>IF(VLOOKUP(BK30,Fundamentus!A:U,20,FALSE)&lt;0.5,"Baixa",IF(VLOOKUP(BK30,Fundamentus!A:U,20,FALSE)&lt;1,"Moderada",IF(VLOOKUP(BK30,Fundamentus!A:U,20,FALSE)&lt;2,"Alerta",IF(VLOOKUP(BK30,Fundamentus!A:U,20,FALSE)&gt;2,"Alta","n/a"))))</f>
        <v>Baixa</v>
      </c>
    </row>
    <row r="31" spans="1:161" s="2" customFormat="1" ht="11.25" hidden="1"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8">
        <v>15.28</v>
      </c>
      <c r="BC31" s="62">
        <v>15.81</v>
      </c>
      <c r="BD31" s="62">
        <v>15.14</v>
      </c>
      <c r="BE31" s="62">
        <v>14.69</v>
      </c>
      <c r="BF31" s="62">
        <v>14.74</v>
      </c>
      <c r="BG31" s="81">
        <v>14.5</v>
      </c>
      <c r="BH31" s="62">
        <v>14.49</v>
      </c>
      <c r="BI31" s="62">
        <v>14.59</v>
      </c>
      <c r="BJ31" s="62" cm="1">
        <f t="array" aca="1" ref="BJ31" ca="1">_FV(EH31,"Preço")</f>
        <v>14.67</v>
      </c>
      <c r="BK31" s="83" t="s">
        <v>28</v>
      </c>
      <c r="BL31" s="44" cm="1">
        <f t="array" aca="1" ref="BL31" ca="1">_FV(EH31,"Média de volume",TRUE)</f>
        <v>4995750</v>
      </c>
      <c r="BM31" s="44">
        <v>37300</v>
      </c>
      <c r="BN31" s="44" cm="1">
        <f t="array" aca="1" ref="BN31" ca="1">_FV(EH31,"Volume")</f>
        <v>16100</v>
      </c>
      <c r="BO31" s="32" cm="1">
        <f t="array" aca="1" ref="BO31" ca="1">_FV(EH31,"Beta")</f>
        <v>0.96619999999999995</v>
      </c>
      <c r="BP31" s="86" cm="1">
        <f t="array" aca="1" ref="BP31" ca="1">_FV(EH31,"Variação (%)",TRUE)</f>
        <v>5.483E-3</v>
      </c>
      <c r="BQ31" s="48"/>
      <c r="BR31" s="48"/>
      <c r="BT31" s="20" cm="1">
        <f t="array" aca="1" ref="BT31" ca="1">_FV(EH31,"Baixo")</f>
        <v>14.54</v>
      </c>
      <c r="BU31" s="20" cm="1">
        <f t="array" aca="1" ref="BU31" ca="1">_FV(EH31,"Alto")</f>
        <v>14.7</v>
      </c>
      <c r="BV31" s="32"/>
      <c r="BW31" s="73">
        <f ca="1">SQRT(22.5*(BJ31/VLOOKUP(BK31,Fundamentus!A:U,3,FALSE))*(BJ31/VLOOKUP(BK31,Fundamentus!A:U,4,FALSE)))</f>
        <v>38.773900734474921</v>
      </c>
      <c r="BY31" s="72">
        <f t="shared" ca="1" si="0"/>
        <v>5.4832076764907518E-3</v>
      </c>
      <c r="BZ31" s="8"/>
      <c r="CA31" s="71">
        <f t="shared" si="36"/>
        <v>14.49</v>
      </c>
      <c r="CB31" s="71">
        <f t="shared" si="1"/>
        <v>19.52</v>
      </c>
      <c r="CC31" s="71">
        <f t="shared" si="37"/>
        <v>16.850081967213111</v>
      </c>
      <c r="CD31" s="17"/>
      <c r="CE31" s="43">
        <f t="shared" si="19"/>
        <v>14.264500623442341</v>
      </c>
      <c r="CF31" s="18">
        <f>FORECAST("04/07/2025", BF31:BI31, $BF$5:$BI$5)</f>
        <v>14.464999999999975</v>
      </c>
      <c r="CG31" s="43">
        <f t="shared" si="20"/>
        <v>14.665499376557609</v>
      </c>
      <c r="CI31" s="17"/>
      <c r="CJ31" s="20">
        <f>CA31-2*(CB31-CM31)</f>
        <v>7.85</v>
      </c>
      <c r="CK31" s="20">
        <f>CM31-(CB31-CA31)</f>
        <v>11.17</v>
      </c>
      <c r="CL31" s="20">
        <f>2*CM31-CB31</f>
        <v>12.879999999999999</v>
      </c>
      <c r="CM31" s="48">
        <f>(CB31+CA31+BI31)/3</f>
        <v>16.2</v>
      </c>
      <c r="CN31" s="20">
        <f>2*CM31-CA31</f>
        <v>17.909999999999997</v>
      </c>
      <c r="CO31" s="20">
        <f>CM31+(CB31-CA31)</f>
        <v>21.229999999999997</v>
      </c>
      <c r="CP31" s="20">
        <f>CB31+2*(CM31-CA31)</f>
        <v>22.939999999999998</v>
      </c>
      <c r="CQ31" s="2" cm="1">
        <f t="array" aca="1" ref="CQ31" ca="1">MAX(_xlfn._xlws.FILTER(CJ31:CP31,CJ31:CP31&lt;BJ31))</f>
        <v>12.879999999999999</v>
      </c>
      <c r="CR31" s="2" cm="1">
        <f t="array" aca="1" ref="CR31" ca="1">MIN(_xlfn._xlws.FILTER($CJ31:$CP31,$CJ31:$CP31&gt;BJ31))</f>
        <v>16.2</v>
      </c>
      <c r="CS31" s="19">
        <f t="shared" ca="1" si="55"/>
        <v>0.2577639751552796</v>
      </c>
      <c r="CT31" s="23">
        <f t="shared" ca="1" si="56"/>
        <v>-0.1288819875776398</v>
      </c>
      <c r="CU31" s="23">
        <f t="shared" ca="1" si="57"/>
        <v>-8.5921325051759867E-2</v>
      </c>
      <c r="CV31" s="23">
        <f t="shared" ca="1" si="58"/>
        <v>-5.155279503105592E-2</v>
      </c>
      <c r="CW31" s="23">
        <f t="shared" ca="1" si="59"/>
        <v>-2.8640441683919955E-2</v>
      </c>
      <c r="CX31" s="23">
        <f t="shared" ca="1" si="60"/>
        <v>-1.5162586773839977E-2</v>
      </c>
      <c r="CY31" s="23">
        <f t="shared" ca="1" si="61"/>
        <v>-7.8110295501599876E-3</v>
      </c>
      <c r="CZ31" s="23">
        <f t="shared" ca="1" si="62"/>
        <v>-3.9655996177735322E-3</v>
      </c>
      <c r="DA31" s="24">
        <f t="shared" ca="1" si="63"/>
        <v>3.9655996177735322E-3</v>
      </c>
      <c r="DB31" s="24">
        <f t="shared" ca="1" si="64"/>
        <v>7.8110295501599876E-3</v>
      </c>
      <c r="DC31" s="24">
        <f t="shared" ca="1" si="65"/>
        <v>1.5162586773839977E-2</v>
      </c>
      <c r="DD31" s="24">
        <f t="shared" ca="1" si="66"/>
        <v>2.8640441683919955E-2</v>
      </c>
      <c r="DE31" s="24">
        <f t="shared" ca="1" si="67"/>
        <v>5.155279503105592E-2</v>
      </c>
      <c r="DF31" s="24">
        <f t="shared" ca="1" si="68"/>
        <v>8.5921325051759867E-2</v>
      </c>
      <c r="DG31" s="24">
        <f t="shared" ca="1" si="69"/>
        <v>0.1288819875776398</v>
      </c>
      <c r="DI31" s="19" cm="1">
        <f t="array" aca="1" ref="DI31" ca="1">MAX(_xlfn._xlws.FILTER(CT31:DG31,CT31:DG31&lt;BP31))</f>
        <v>3.9655996177735322E-3</v>
      </c>
      <c r="DJ31" s="19" cm="1">
        <f t="array" aca="1" ref="DJ31" ca="1">MIN(_xlfn._xlws.FILTER(CT31:DG31,CT31:DG31&gt;BP31))</f>
        <v>7.8110295501599876E-3</v>
      </c>
      <c r="DK31" s="2" cm="1">
        <f t="array" aca="1" ref="DK31" ca="1">_FV(EH31,"Fechamento anterior",TRUE)</f>
        <v>14.59</v>
      </c>
      <c r="DL31" s="36">
        <f ca="1">(BJ31-DM31)/(DN31-DM31)</f>
        <v>0.39465237578141155</v>
      </c>
      <c r="DM31" s="18">
        <f t="shared" ca="1" si="70"/>
        <v>14.647858098423315</v>
      </c>
      <c r="DN31" s="18">
        <f t="shared" ca="1" si="71"/>
        <v>14.703962921136833</v>
      </c>
      <c r="DO31" s="9"/>
      <c r="DP31" s="9"/>
      <c r="DQ31" s="94">
        <v>2.1882432891607215E-2</v>
      </c>
      <c r="DR31" s="94">
        <v>7.5746883086332661E-3</v>
      </c>
      <c r="DS31" s="94">
        <v>7.4414192061250939E-3</v>
      </c>
      <c r="DT31" s="94">
        <f t="shared" ca="1" si="12"/>
        <v>3.8454299323864554E-3</v>
      </c>
      <c r="DU31" s="87">
        <f ca="1">(BJ31-CF31)/(CF31-CE31)</f>
        <v>1.0224470695104506</v>
      </c>
      <c r="DV31" s="46"/>
      <c r="DW31" s="43">
        <f>_xlfn.STDEV.P(BF31:BI31)</f>
        <v>0.10024968827881714</v>
      </c>
      <c r="DX31" s="76">
        <f ca="1">BO31-$DT$2</f>
        <v>-3.090000000000015E-2</v>
      </c>
      <c r="DY31" s="76">
        <f ca="1">BO31-BP31*100</f>
        <v>0.41789999999999994</v>
      </c>
      <c r="DZ31" s="101"/>
      <c r="EA31" s="100">
        <v>-1.4569000000000005</v>
      </c>
      <c r="EB31" s="107">
        <v>0.8294999999999999</v>
      </c>
      <c r="EC31" s="107">
        <v>0.80160000000000009</v>
      </c>
      <c r="ED31" s="98">
        <f t="shared" ca="1" si="13"/>
        <v>-0.44880000000000009</v>
      </c>
      <c r="EE31" s="66"/>
      <c r="EF31" s="66"/>
      <c r="EH31" s="2" t="e" vm="31">
        <v>#VALUE!</v>
      </c>
      <c r="EJ31" s="10" cm="1">
        <f t="array" aca="1" ref="EJ31" ca="1">_FV(EH31,"Ações em circulação",TRUE)</f>
        <v>393096600</v>
      </c>
      <c r="EK31" s="21">
        <f>VLOOKUP(BK31,Fundamentus!A:U,5,FALSE)</f>
        <v>0</v>
      </c>
      <c r="EL31" s="2" t="e">
        <f ca="1">(BJ31*EJ31)/EK31</f>
        <v>#DIV/0!</v>
      </c>
      <c r="EM31" s="20" t="e">
        <v>#DIV/0!</v>
      </c>
      <c r="EN31" s="20" t="e">
        <f t="shared" ca="1" si="14"/>
        <v>#DIV/0!</v>
      </c>
      <c r="EP31" s="19" t="e">
        <f t="shared" ca="1" si="15"/>
        <v>#DIV/0!</v>
      </c>
      <c r="EQ31" s="40" t="str">
        <f>IF(VLOOKUP(BK31,Fundamentus!A:U,3,FALSE)&lt;15,"Bom",IF(VLOOKUP(BK31,Fundamentus!A:U,3,FALSE)&gt;15,"Ruim","n/a"))</f>
        <v>Bom</v>
      </c>
      <c r="ER31" s="36" t="str">
        <f>IF(VLOOKUP(BK31,Fundamentus!A:U,4,FALSE)&lt;1,"Baixo",IF(VLOOKUP(BK31,Fundamentus!A:U,4,FALSE)&lt;1.5,"Moderado",IF(VLOOKUP(BK31,Fundamentus!A:U,4,FALSE)&gt;1.5,"Alto","n/a")))</f>
        <v>Baixo</v>
      </c>
      <c r="ES31" s="20" t="str">
        <f>IF(VLOOKUP(BK31,Fundamentus!A:U,8,FALSE)&lt;0,"Risco elevado",IF(VLOOKUP(BK31,Fundamentus!A:U,8,FALSE)&lt;1,"Saudável",IF(VLOOKUP(BK31,Fundamentus!A:U,8,FALSE)&lt;3,"Estável",IF(VLOOKUP(BK31,Fundamentus!A:U,8,FALSE)&gt;3,"Alerta","n/a"))))</f>
        <v>Alerta</v>
      </c>
      <c r="ET31" s="36" t="str">
        <f t="shared" si="16"/>
        <v>Ruim</v>
      </c>
      <c r="EU31" s="20" t="str">
        <f>IF(VLOOKUP(BK31,Fundamentus!A:U,12,FALSE)&lt;2,"Subvalorizada",IF(VLOOKUP(BK31,Fundamentus!A:U,12,FALSE)&lt;6,"Muita barata",IF(VLOOKUP(BK31,Fundamentus!A:U,12,FALSE)&lt;6,"Barata",IF(VLOOKUP(BK31,Fundamentus!A:U,12,FALSE)&lt;8,"Atrativa",IF(VLOOKUP(BK31,Fundamentus!A:U,12,FALSE)&gt;8,"Supervalorizada","n/a")))))</f>
        <v>Subvalorizada</v>
      </c>
      <c r="EW31" s="20" t="str">
        <f>IF(VLOOKUP(BK31,Fundamentus!A:U,17,FALSE)&lt;0.1,"Fraco retorno",IF(VLOOKUP(BK31,Fundamentus!A:U,17,FALSE)&gt;0.1,"Bom retorno","n/a"))</f>
        <v>Bom retorno</v>
      </c>
      <c r="EX31" s="20" t="str">
        <f>IF(VLOOKUP(BK31,Fundamentus!A:U,16,FALSE)&lt;0.1,"Ineficiente",IF(VLOOKUP(BK31,Fundamentus!A:U,16,FALSE)&gt;0.1,"Eficiente","n/a"))</f>
        <v>Ineficiente</v>
      </c>
      <c r="EY31" s="41" t="str">
        <f>IF(VLOOKUP(BK31,Fundamentus!A:U,16,FALSE)&lt;0.1,"Oper. Ineficiente",IF(VLOOKUP(BK31,Fundamentus!A:U,16,FALSE)&gt;0.1,"Oper.Eficiente","n/a"))</f>
        <v>Oper. Ineficiente</v>
      </c>
      <c r="EZ31" s="42">
        <f>VLOOKUP(BK31,Fundamentus!A:U,14,FALSE)</f>
        <v>0</v>
      </c>
      <c r="FA31" s="20" t="str">
        <f>IF(VLOOKUP(BK31,Fundamentus!A:U,21,FALSE)&lt;0,"Negativo",IF(VLOOKUP(BK31,Fundamentus!A:U,21,FALSE)&lt;0.05,"Fraco",IF(VLOOKUP(BK31,Fundamentus!A:U,21,FALSE)&lt;0.1,"Bom",IF(VLOOKUP(BK31,Fundamentus!A:U,21,FALSE)&gt;0.1,"Muito bom","n/a"))))</f>
        <v>Fraco</v>
      </c>
      <c r="FC31" s="37" t="str">
        <f>IF(VLOOKUP(BK31,Fundamentus!A:U,15,FALSE)&gt;1,"Bom",IF(VLOOKUP(BK31,Fundamentus!A:U,15,FALSE)&lt;1,"Ruim","n/a"))</f>
        <v>Bom</v>
      </c>
      <c r="FD31" s="20" t="str">
        <f>IF(VLOOKUP(BK31,Fundamentus!A:U,20,FALSE)&lt;0.5,"Baixa",IF(VLOOKUP(BK31,Fundamentus!A:U,20,FALSE)&lt;1,"Moderada",IF(VLOOKUP(BK31,Fundamentus!A:U,20,FALSE)&lt;2,"Alerta",IF(VLOOKUP(BK31,Fundamentus!A:U,20,FALSE)&gt;2,"Alta","n/a"))))</f>
        <v>Baixa</v>
      </c>
    </row>
    <row r="32" spans="1:161" s="2" customFormat="1" ht="11.25" hidden="1"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8">
        <v>1.23</v>
      </c>
      <c r="BC32" s="62">
        <v>1.24</v>
      </c>
      <c r="BD32" s="62">
        <v>1.23</v>
      </c>
      <c r="BE32" s="62">
        <v>1.24</v>
      </c>
      <c r="BF32" s="62">
        <v>1.22</v>
      </c>
      <c r="BG32" s="81">
        <v>1.23</v>
      </c>
      <c r="BH32" s="62">
        <v>1.23</v>
      </c>
      <c r="BI32" s="62">
        <v>1.21</v>
      </c>
      <c r="BJ32" s="62" cm="1">
        <f t="array" aca="1" ref="BJ32" ca="1">_FV(EH32,"Preço")</f>
        <v>1.21</v>
      </c>
      <c r="BK32" s="83" t="s">
        <v>29</v>
      </c>
      <c r="BL32" s="44" cm="1">
        <f t="array" aca="1" ref="BL32" ca="1">_FV(EH32,"Média de volume",TRUE)</f>
        <v>8020</v>
      </c>
      <c r="BM32" s="44">
        <v>1400</v>
      </c>
      <c r="BN32" s="44" cm="1">
        <f t="array" aca="1" ref="BN32" ca="1">_FV(EH32,"Volume")</f>
        <v>3100</v>
      </c>
      <c r="BO32" s="32" cm="1">
        <f t="array" aca="1" ref="BO32" ca="1">_FV(EH32,"Beta")</f>
        <v>0.98950000000000005</v>
      </c>
      <c r="BP32" s="86" cm="1">
        <f t="array" aca="1" ref="BP32" ca="1">_FV(EH32,"Variação (%)",TRUE)</f>
        <v>0</v>
      </c>
      <c r="BQ32" s="48"/>
      <c r="BR32" s="48"/>
      <c r="BT32" s="20" cm="1">
        <f t="array" aca="1" ref="BT32" ca="1">_FV(EH32,"Baixo")</f>
        <v>1.1599999999999999</v>
      </c>
      <c r="BU32" s="20" cm="1">
        <f t="array" aca="1" ref="BU32" ca="1">_FV(EH32,"Alto")</f>
        <v>1.22</v>
      </c>
      <c r="BV32" s="32"/>
      <c r="BW32" s="73" t="e">
        <f ca="1">SQRT(22.5*(BJ32/VLOOKUP(BK32,Fundamentus!A:U,3,FALSE))*(BJ32/VLOOKUP(BK32,Fundamentus!A:U,4,FALSE)))</f>
        <v>#NUM!</v>
      </c>
      <c r="BY32" s="72">
        <f t="shared" ca="1" si="0"/>
        <v>0</v>
      </c>
      <c r="BZ32" s="8"/>
      <c r="CA32" s="71">
        <f t="shared" si="36"/>
        <v>1.1399999999999999</v>
      </c>
      <c r="CB32" s="71">
        <f t="shared" si="1"/>
        <v>1.4</v>
      </c>
      <c r="CC32" s="71">
        <f t="shared" si="37"/>
        <v>1.2145901639344263</v>
      </c>
      <c r="CD32" s="17"/>
      <c r="CE32" s="43">
        <f t="shared" si="19"/>
        <v>1.1984168760482228</v>
      </c>
      <c r="CF32" s="18">
        <f>FORECAST("04/07/2025", BF32:BI32, $BF$5:$BI$5)</f>
        <v>1.2149999999999999</v>
      </c>
      <c r="CG32" s="43">
        <f t="shared" si="20"/>
        <v>1.2315831239517769</v>
      </c>
      <c r="CI32" s="17"/>
      <c r="CJ32" s="20">
        <f>CA32-2*(CB32-CM32)</f>
        <v>0.84000000000000008</v>
      </c>
      <c r="CK32" s="20">
        <f>CM32-(CB32-CA32)</f>
        <v>0.99</v>
      </c>
      <c r="CL32" s="20">
        <f>2*CM32-CB32</f>
        <v>1.1000000000000001</v>
      </c>
      <c r="CM32" s="48">
        <f>(CB32+CA32+BI32)/3</f>
        <v>1.25</v>
      </c>
      <c r="CN32" s="20">
        <f>2*CM32-CA32</f>
        <v>1.36</v>
      </c>
      <c r="CO32" s="20">
        <f>CM32+(CB32-CA32)</f>
        <v>1.51</v>
      </c>
      <c r="CP32" s="20">
        <f>CB32+2*(CM32-CA32)</f>
        <v>1.62</v>
      </c>
      <c r="CQ32" s="2" cm="1">
        <f t="array" aca="1" ref="CQ32" ca="1">MAX(_xlfn._xlws.FILTER(CJ32:CP32,CJ32:CP32&lt;BJ32))</f>
        <v>1.1000000000000001</v>
      </c>
      <c r="CR32" s="2" cm="1">
        <f t="array" aca="1" ref="CR32" ca="1">MIN(_xlfn._xlws.FILTER($CJ32:$CP32,$CJ32:$CP32&gt;BJ32))</f>
        <v>1.25</v>
      </c>
      <c r="CS32" s="19">
        <f t="shared" ca="1" si="55"/>
        <v>0.13636363636363624</v>
      </c>
      <c r="CT32" s="23">
        <f t="shared" ca="1" si="56"/>
        <v>-6.8181818181818121E-2</v>
      </c>
      <c r="CU32" s="23">
        <f t="shared" ca="1" si="57"/>
        <v>-4.5454545454545414E-2</v>
      </c>
      <c r="CV32" s="23">
        <f t="shared" ca="1" si="58"/>
        <v>-2.7272727272727247E-2</v>
      </c>
      <c r="CW32" s="23">
        <f t="shared" ca="1" si="59"/>
        <v>-1.5151515151515138E-2</v>
      </c>
      <c r="CX32" s="23">
        <f t="shared" ca="1" si="60"/>
        <v>-8.021390374331543E-3</v>
      </c>
      <c r="CY32" s="23">
        <f t="shared" ca="1" si="61"/>
        <v>-4.1322314049586743E-3</v>
      </c>
      <c r="CZ32" s="23">
        <f t="shared" ca="1" si="62"/>
        <v>-2.0979020979020962E-3</v>
      </c>
      <c r="DA32" s="24">
        <f t="shared" ca="1" si="63"/>
        <v>2.0979020979020962E-3</v>
      </c>
      <c r="DB32" s="24">
        <f t="shared" ca="1" si="64"/>
        <v>4.1322314049586743E-3</v>
      </c>
      <c r="DC32" s="24">
        <f t="shared" ca="1" si="65"/>
        <v>8.021390374331543E-3</v>
      </c>
      <c r="DD32" s="24">
        <f t="shared" ca="1" si="66"/>
        <v>1.5151515151515138E-2</v>
      </c>
      <c r="DE32" s="24">
        <f t="shared" ca="1" si="67"/>
        <v>2.7272727272727247E-2</v>
      </c>
      <c r="DF32" s="24">
        <f t="shared" ca="1" si="68"/>
        <v>4.5454545454545414E-2</v>
      </c>
      <c r="DG32" s="24">
        <f t="shared" ca="1" si="69"/>
        <v>6.8181818181818121E-2</v>
      </c>
      <c r="DI32" s="19" cm="1">
        <f t="array" aca="1" ref="DI32" ca="1">MAX(_xlfn._xlws.FILTER(CT32:DG32,CT32:DG32&lt;BP32))</f>
        <v>-2.0979020979020962E-3</v>
      </c>
      <c r="DJ32" s="19" cm="1">
        <f t="array" aca="1" ref="DJ32" ca="1">MIN(_xlfn._xlws.FILTER(CT32:DG32,CT32:DG32&gt;BP32))</f>
        <v>2.0979020979020962E-3</v>
      </c>
      <c r="DK32" s="2" cm="1">
        <f t="array" aca="1" ref="DK32" ca="1">_FV(EH32,"Fechamento anterior",TRUE)</f>
        <v>1.21</v>
      </c>
      <c r="DL32" s="36">
        <f ca="1">(BJ32-DM32)/(DN32-DM32)</f>
        <v>0.5</v>
      </c>
      <c r="DM32" s="18">
        <f t="shared" ca="1" si="70"/>
        <v>1.2074615384615384</v>
      </c>
      <c r="DN32" s="18">
        <f t="shared" ca="1" si="71"/>
        <v>1.2125384615384616</v>
      </c>
      <c r="DO32" s="9"/>
      <c r="DP32" s="9"/>
      <c r="DQ32" s="94">
        <v>1.1775362318840576E-2</v>
      </c>
      <c r="DR32" s="94">
        <v>1.4627285513361458E-2</v>
      </c>
      <c r="DS32" s="94">
        <v>3.9613081529249186E-3</v>
      </c>
      <c r="DT32" s="94">
        <f t="shared" ca="1" si="12"/>
        <v>4.1958041958041923E-3</v>
      </c>
      <c r="DU32" s="87">
        <f ca="1">(BJ32-CF32)/(CF32-CE32)</f>
        <v>-0.30151134457775575</v>
      </c>
      <c r="DV32" s="46"/>
      <c r="DW32" s="43">
        <f>_xlfn.STDEV.P(BF32:BI32)</f>
        <v>8.2915619758885065E-3</v>
      </c>
      <c r="DX32" s="76">
        <f ca="1">BO32-$DT$2</f>
        <v>-7.6000000000000512E-3</v>
      </c>
      <c r="DY32" s="76">
        <f ca="1">BO32-BP32*100</f>
        <v>0.98950000000000005</v>
      </c>
      <c r="DZ32" s="101"/>
      <c r="EA32" s="100">
        <v>1.9516000000000004</v>
      </c>
      <c r="EB32" s="107">
        <v>1.2418999999999998</v>
      </c>
      <c r="EC32" s="107">
        <v>-0.63880000000000003</v>
      </c>
      <c r="ED32" s="98">
        <f t="shared" ca="1" si="13"/>
        <v>-0.9971000000000001</v>
      </c>
      <c r="EE32" s="66"/>
      <c r="EF32" s="66"/>
      <c r="EH32" s="2" t="e" vm="32">
        <v>#VALUE!</v>
      </c>
      <c r="EJ32" s="10" cm="1">
        <f t="array" aca="1" ref="EJ32" ca="1">_FV(EH32,"Ações em circulação",TRUE)</f>
        <v>11900000</v>
      </c>
      <c r="EK32" s="21">
        <f>VLOOKUP(BK32,Fundamentus!A:U,5,FALSE)</f>
        <v>0.48199999999999998</v>
      </c>
      <c r="EL32" s="2">
        <f ca="1">(BJ32*EJ32)/EK32</f>
        <v>29873443.983402491</v>
      </c>
      <c r="EM32" s="20">
        <v>1950735.8921161825</v>
      </c>
      <c r="EN32" s="20">
        <f t="shared" ca="1" si="14"/>
        <v>1950735.8921161825</v>
      </c>
      <c r="EP32" s="19">
        <f t="shared" ca="1" si="15"/>
        <v>0</v>
      </c>
      <c r="EQ32" s="40" t="str">
        <f>IF(VLOOKUP(BK32,Fundamentus!A:U,3,FALSE)&lt;15,"Bom",IF(VLOOKUP(BK32,Fundamentus!A:U,3,FALSE)&gt;15,"Ruim","n/a"))</f>
        <v>Bom</v>
      </c>
      <c r="ER32" s="36" t="str">
        <f>IF(VLOOKUP(BK32,Fundamentus!A:U,4,FALSE)&lt;1,"Baixo",IF(VLOOKUP(BK32,Fundamentus!A:U,4,FALSE)&lt;1.5,"Moderado",IF(VLOOKUP(BK32,Fundamentus!A:U,4,FALSE)&gt;1.5,"Alto","n/a")))</f>
        <v>Baixo</v>
      </c>
      <c r="ES32" s="20" t="str">
        <f>IF(VLOOKUP(BK32,Fundamentus!A:U,8,FALSE)&lt;0,"Risco elevado",IF(VLOOKUP(BK32,Fundamentus!A:U,8,FALSE)&lt;1,"Saudável",IF(VLOOKUP(BK32,Fundamentus!A:U,8,FALSE)&lt;3,"Estável",IF(VLOOKUP(BK32,Fundamentus!A:U,8,FALSE)&gt;3,"Alerta","n/a"))))</f>
        <v>Saudável</v>
      </c>
      <c r="ET32" s="36" t="str">
        <f t="shared" si="16"/>
        <v>Ruim</v>
      </c>
      <c r="EU32" s="20" t="str">
        <f>IF(VLOOKUP(BK32,Fundamentus!A:U,12,FALSE)&lt;2,"Subvalorizada",IF(VLOOKUP(BK32,Fundamentus!A:U,12,FALSE)&lt;6,"Muita barata",IF(VLOOKUP(BK32,Fundamentus!A:U,12,FALSE)&lt;6,"Barata",IF(VLOOKUP(BK32,Fundamentus!A:U,12,FALSE)&lt;8,"Atrativa",IF(VLOOKUP(BK32,Fundamentus!A:U,12,FALSE)&gt;8,"Supervalorizada","n/a")))))</f>
        <v>Supervalorizada</v>
      </c>
      <c r="EW32" s="20" t="str">
        <f>IF(VLOOKUP(BK32,Fundamentus!A:U,17,FALSE)&lt;0.1,"Fraco retorno",IF(VLOOKUP(BK32,Fundamentus!A:U,17,FALSE)&gt;0.1,"Bom retorno","n/a"))</f>
        <v>Fraco retorno</v>
      </c>
      <c r="EX32" s="20" t="str">
        <f>IF(VLOOKUP(BK32,Fundamentus!A:U,16,FALSE)&lt;0.1,"Ineficiente",IF(VLOOKUP(BK32,Fundamentus!A:U,16,FALSE)&gt;0.1,"Eficiente","n/a"))</f>
        <v>Ineficiente</v>
      </c>
      <c r="EY32" s="41" t="str">
        <f>IF(VLOOKUP(BK32,Fundamentus!A:U,16,FALSE)&lt;0.1,"Oper. Ineficiente",IF(VLOOKUP(BK32,Fundamentus!A:U,16,FALSE)&gt;0.1,"Oper.Eficiente","n/a"))</f>
        <v>Oper. Ineficiente</v>
      </c>
      <c r="EZ32" s="42">
        <f>VLOOKUP(BK32,Fundamentus!A:U,14,FALSE)</f>
        <v>6.5299999999999997E-2</v>
      </c>
      <c r="FA32" s="20" t="str">
        <f>IF(VLOOKUP(BK32,Fundamentus!A:U,21,FALSE)&lt;0,"Negativo",IF(VLOOKUP(BK32,Fundamentus!A:U,21,FALSE)&lt;0.05,"Fraco",IF(VLOOKUP(BK32,Fundamentus!A:U,21,FALSE)&lt;0.1,"Bom",IF(VLOOKUP(BK32,Fundamentus!A:U,21,FALSE)&gt;0.1,"Muito bom","n/a"))))</f>
        <v>Negativo</v>
      </c>
      <c r="FC32" s="37" t="str">
        <f>IF(VLOOKUP(BK32,Fundamentus!A:U,15,FALSE)&gt;1,"Bom",IF(VLOOKUP(BK32,Fundamentus!A:U,15,FALSE)&lt;1,"Ruim","n/a"))</f>
        <v>Bom</v>
      </c>
      <c r="FD32" s="20" t="str">
        <f>IF(VLOOKUP(BK32,Fundamentus!A:U,20,FALSE)&lt;0.5,"Baixa",IF(VLOOKUP(BK32,Fundamentus!A:U,20,FALSE)&lt;1,"Moderada",IF(VLOOKUP(BK32,Fundamentus!A:U,20,FALSE)&lt;2,"Alerta",IF(VLOOKUP(BK32,Fundamentus!A:U,20,FALSE)&gt;2,"Alta","n/a"))))</f>
        <v>Baixa</v>
      </c>
    </row>
    <row r="33" spans="1:160" s="2" customFormat="1" ht="11.25" hidden="1"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8">
        <v>14.2</v>
      </c>
      <c r="BC33" s="62">
        <v>14.47</v>
      </c>
      <c r="BD33" s="62">
        <v>14.22</v>
      </c>
      <c r="BE33" s="62">
        <v>14.07</v>
      </c>
      <c r="BF33" s="62">
        <v>13.55</v>
      </c>
      <c r="BG33" s="81">
        <v>14.13</v>
      </c>
      <c r="BH33" s="62">
        <v>13.99</v>
      </c>
      <c r="BI33" s="62">
        <v>13.79</v>
      </c>
      <c r="BJ33" s="62" cm="1">
        <f t="array" aca="1" ref="BJ33" ca="1">_FV(EH33,"Preço")</f>
        <v>14.05</v>
      </c>
      <c r="BK33" s="83" t="s">
        <v>30</v>
      </c>
      <c r="BL33" s="44" cm="1">
        <f t="array" aca="1" ref="BL33" ca="1">_FV(EH33,"Média de volume",TRUE)</f>
        <v>74720</v>
      </c>
      <c r="BM33" s="44">
        <v>59100</v>
      </c>
      <c r="BN33" s="44" cm="1">
        <f t="array" aca="1" ref="BN33" ca="1">_FV(EH33,"Volume")</f>
        <v>46600</v>
      </c>
      <c r="BO33" s="32" cm="1">
        <f t="array" aca="1" ref="BO33" ca="1">_FV(EH33,"Beta")</f>
        <v>1.0892999999999999</v>
      </c>
      <c r="BP33" s="86" cm="1">
        <f t="array" aca="1" ref="BP33" ca="1">_FV(EH33,"Variação (%)",TRUE)</f>
        <v>1.8853999999999999E-2</v>
      </c>
      <c r="BQ33" s="48"/>
      <c r="BR33" s="48"/>
      <c r="BT33" s="20" cm="1">
        <f t="array" aca="1" ref="BT33" ca="1">_FV(EH33,"Baixo")</f>
        <v>13.74</v>
      </c>
      <c r="BU33" s="20" cm="1">
        <f t="array" aca="1" ref="BU33" ca="1">_FV(EH33,"Alto")</f>
        <v>14.09</v>
      </c>
      <c r="BV33" s="32"/>
      <c r="BW33" s="73">
        <f ca="1">SQRT(22.5*(BJ33/VLOOKUP(BK33,Fundamentus!A:U,3,FALSE))*(BJ33/VLOOKUP(BK33,Fundamentus!A:U,4,FALSE)))</f>
        <v>22.181752850517373</v>
      </c>
      <c r="BY33" s="72">
        <f t="shared" ca="1" si="0"/>
        <v>1.8854242204496125E-2</v>
      </c>
      <c r="BZ33" s="8"/>
      <c r="CA33" s="71">
        <f t="shared" si="36"/>
        <v>11.11</v>
      </c>
      <c r="CB33" s="71">
        <f t="shared" si="1"/>
        <v>14.94</v>
      </c>
      <c r="CC33" s="71">
        <f t="shared" si="37"/>
        <v>13.098770491803281</v>
      </c>
      <c r="CD33" s="17"/>
      <c r="CE33" s="43">
        <f t="shared" si="19"/>
        <v>13.573307888782029</v>
      </c>
      <c r="CF33" s="18">
        <f>FORECAST("04/07/2025", BF33:BI33, $BF$5:$BI$5)</f>
        <v>14.009999999999991</v>
      </c>
      <c r="CG33" s="43">
        <f t="shared" si="20"/>
        <v>14.446692111217953</v>
      </c>
      <c r="CI33" s="17"/>
      <c r="CJ33" s="20">
        <f>CA33-2*(CB33-CM33)</f>
        <v>7.7899999999999991</v>
      </c>
      <c r="CK33" s="20">
        <f>CM33-(CB33-CA33)</f>
        <v>9.4499999999999993</v>
      </c>
      <c r="CL33" s="20">
        <f>2*CM33-CB33</f>
        <v>11.62</v>
      </c>
      <c r="CM33" s="48">
        <f>(CB33+CA33+BI33)/3</f>
        <v>13.28</v>
      </c>
      <c r="CN33" s="20">
        <f>2*CM33-CA33</f>
        <v>15.45</v>
      </c>
      <c r="CO33" s="20">
        <f>CM33+(CB33-CA33)</f>
        <v>17.11</v>
      </c>
      <c r="CP33" s="20">
        <f>CB33+2*(CM33-CA33)</f>
        <v>19.28</v>
      </c>
      <c r="CQ33" s="2" cm="1">
        <f t="array" aca="1" ref="CQ33" ca="1">MAX(_xlfn._xlws.FILTER(CJ33:CP33,CJ33:CP33&lt;BJ33))</f>
        <v>13.28</v>
      </c>
      <c r="CR33" s="2" cm="1">
        <f t="array" aca="1" ref="CR33" ca="1">MIN(_xlfn._xlws.FILTER($CJ33:$CP33,$CJ33:$CP33&gt;BJ33))</f>
        <v>15.45</v>
      </c>
      <c r="CS33" s="19">
        <f t="shared" ca="1" si="55"/>
        <v>0.16340361445783125</v>
      </c>
      <c r="CT33" s="23">
        <f t="shared" ca="1" si="56"/>
        <v>-8.1701807228915624E-2</v>
      </c>
      <c r="CU33" s="23">
        <f t="shared" ca="1" si="57"/>
        <v>-5.4467871485943752E-2</v>
      </c>
      <c r="CV33" s="23">
        <f t="shared" ca="1" si="58"/>
        <v>-3.2680722891566247E-2</v>
      </c>
      <c r="CW33" s="23">
        <f t="shared" ca="1" si="59"/>
        <v>-1.8155957161981248E-2</v>
      </c>
      <c r="CX33" s="23">
        <f t="shared" ca="1" si="60"/>
        <v>-9.6119773210488965E-3</v>
      </c>
      <c r="CY33" s="23">
        <f t="shared" ca="1" si="61"/>
        <v>-4.9516246805403411E-3</v>
      </c>
      <c r="CZ33" s="23">
        <f t="shared" ca="1" si="62"/>
        <v>-2.5139017608897113E-3</v>
      </c>
      <c r="DA33" s="24">
        <f t="shared" ca="1" si="63"/>
        <v>2.5139017608897113E-3</v>
      </c>
      <c r="DB33" s="24">
        <f t="shared" ca="1" si="64"/>
        <v>4.9516246805403411E-3</v>
      </c>
      <c r="DC33" s="24">
        <f t="shared" ca="1" si="65"/>
        <v>9.6119773210488965E-3</v>
      </c>
      <c r="DD33" s="24">
        <f t="shared" ca="1" si="66"/>
        <v>1.8155957161981248E-2</v>
      </c>
      <c r="DE33" s="24">
        <f t="shared" ca="1" si="67"/>
        <v>3.2680722891566247E-2</v>
      </c>
      <c r="DF33" s="24">
        <f t="shared" ca="1" si="68"/>
        <v>5.4467871485943752E-2</v>
      </c>
      <c r="DG33" s="24">
        <f t="shared" ca="1" si="69"/>
        <v>8.1701807228915624E-2</v>
      </c>
      <c r="DI33" s="19" cm="1">
        <f t="array" aca="1" ref="DI33" ca="1">MAX(_xlfn._xlws.FILTER(CT33:DG33,CT33:DG33&lt;BP33))</f>
        <v>1.8155957161981248E-2</v>
      </c>
      <c r="DJ33" s="19" cm="1">
        <f t="array" aca="1" ref="DJ33" ca="1">MIN(_xlfn._xlws.FILTER(CT33:DG33,CT33:DG33&gt;BP33))</f>
        <v>3.2680722891566247E-2</v>
      </c>
      <c r="DK33" s="2" cm="1">
        <f t="array" aca="1" ref="DK33" ca="1">_FV(EH33,"Fechamento anterior",TRUE)</f>
        <v>13.79</v>
      </c>
      <c r="DL33" s="36">
        <f ca="1">(BJ33-DM33)/(DN33-DM33)</f>
        <v>4.8075477120606287E-2</v>
      </c>
      <c r="DM33" s="18">
        <f t="shared" ca="1" si="70"/>
        <v>14.040370649263721</v>
      </c>
      <c r="DN33" s="18">
        <f t="shared" ca="1" si="71"/>
        <v>14.240667168674698</v>
      </c>
      <c r="DO33" s="9"/>
      <c r="DP33" s="9"/>
      <c r="DQ33" s="94">
        <v>2.5031647503557619E-3</v>
      </c>
      <c r="DR33" s="94">
        <v>2.5031647503557619E-3</v>
      </c>
      <c r="DS33" s="94">
        <v>2.5433335537865145E-3</v>
      </c>
      <c r="DT33" s="94">
        <f t="shared" ca="1" si="12"/>
        <v>1.4524765729584999E-2</v>
      </c>
      <c r="DU33" s="87">
        <f ca="1">(BJ33-CF33)/(CF33-CE33)</f>
        <v>9.159771603944776E-2</v>
      </c>
      <c r="DV33" s="46"/>
      <c r="DW33" s="43">
        <f>_xlfn.STDEV.P(BF33:BI33)</f>
        <v>0.21834605560898057</v>
      </c>
      <c r="DX33" s="76">
        <f ca="1">BO33-$DT$2</f>
        <v>9.2199999999999838E-2</v>
      </c>
      <c r="DY33" s="76">
        <f ca="1">BO33-BP33*100</f>
        <v>-0.79610000000000003</v>
      </c>
      <c r="DZ33" s="101"/>
      <c r="EA33" s="100">
        <v>0.9325</v>
      </c>
      <c r="EB33" s="107">
        <v>-0.85750000000000037</v>
      </c>
      <c r="EC33" s="107">
        <v>-1.2486999999999999</v>
      </c>
      <c r="ED33" s="98">
        <f t="shared" ca="1" si="13"/>
        <v>0.88829999999999987</v>
      </c>
      <c r="EE33" s="66"/>
      <c r="EF33" s="66"/>
      <c r="EH33" s="2" t="e" vm="33">
        <v>#VALUE!</v>
      </c>
      <c r="EJ33" s="10" cm="1">
        <f t="array" aca="1" ref="EJ33" ca="1">_FV(EH33,"Ações em circulação",TRUE)</f>
        <v>3749266000</v>
      </c>
      <c r="EK33" s="21">
        <f>VLOOKUP(BK33,Fundamentus!A:U,5,FALSE)</f>
        <v>0</v>
      </c>
      <c r="EL33" s="2" t="e">
        <f ca="1">(BJ33*EJ33)/EK33</f>
        <v>#DIV/0!</v>
      </c>
      <c r="EM33" s="20" t="e">
        <v>#DIV/0!</v>
      </c>
      <c r="EN33" s="20" t="e">
        <f t="shared" ca="1" si="14"/>
        <v>#DIV/0!</v>
      </c>
      <c r="EP33" s="19" t="e">
        <f t="shared" ca="1" si="15"/>
        <v>#DIV/0!</v>
      </c>
      <c r="EQ33" s="40" t="str">
        <f>IF(VLOOKUP(BK33,Fundamentus!A:U,3,FALSE)&lt;15,"Bom",IF(VLOOKUP(BK33,Fundamentus!A:U,3,FALSE)&gt;15,"Ruim","n/a"))</f>
        <v>Bom</v>
      </c>
      <c r="ER33" s="36" t="str">
        <f>IF(VLOOKUP(BK33,Fundamentus!A:U,4,FALSE)&lt;1,"Baixo",IF(VLOOKUP(BK33,Fundamentus!A:U,4,FALSE)&lt;1.5,"Moderado",IF(VLOOKUP(BK33,Fundamentus!A:U,4,FALSE)&gt;1.5,"Alto","n/a")))</f>
        <v>Moderado</v>
      </c>
      <c r="ES33" s="20" t="str">
        <f>IF(VLOOKUP(BK33,Fundamentus!A:U,8,FALSE)&lt;0,"Risco elevado",IF(VLOOKUP(BK33,Fundamentus!A:U,8,FALSE)&lt;1,"Saudável",IF(VLOOKUP(BK33,Fundamentus!A:U,8,FALSE)&lt;3,"Estável",IF(VLOOKUP(BK33,Fundamentus!A:U,8,FALSE)&gt;3,"Alerta","n/a"))))</f>
        <v>Saudável</v>
      </c>
      <c r="ET33" s="36" t="str">
        <f t="shared" si="16"/>
        <v>Ruim</v>
      </c>
      <c r="EU33" s="20" t="str">
        <f>IF(VLOOKUP(BK33,Fundamentus!A:U,12,FALSE)&lt;2,"Subvalorizada",IF(VLOOKUP(BK33,Fundamentus!A:U,12,FALSE)&lt;6,"Muita barata",IF(VLOOKUP(BK33,Fundamentus!A:U,12,FALSE)&lt;6,"Barata",IF(VLOOKUP(BK33,Fundamentus!A:U,12,FALSE)&lt;8,"Atrativa",IF(VLOOKUP(BK33,Fundamentus!A:U,12,FALSE)&gt;8,"Supervalorizada","n/a")))))</f>
        <v>Subvalorizada</v>
      </c>
      <c r="EW33" s="20" t="str">
        <f>IF(VLOOKUP(BK33,Fundamentus!A:U,17,FALSE)&lt;0.1,"Fraco retorno",IF(VLOOKUP(BK33,Fundamentus!A:U,17,FALSE)&gt;0.1,"Bom retorno","n/a"))</f>
        <v>Bom retorno</v>
      </c>
      <c r="EX33" s="20" t="str">
        <f>IF(VLOOKUP(BK33,Fundamentus!A:U,16,FALSE)&lt;0.1,"Ineficiente",IF(VLOOKUP(BK33,Fundamentus!A:U,16,FALSE)&gt;0.1,"Eficiente","n/a"))</f>
        <v>Ineficiente</v>
      </c>
      <c r="EY33" s="41" t="str">
        <f>IF(VLOOKUP(BK33,Fundamentus!A:U,16,FALSE)&lt;0.1,"Oper. Ineficiente",IF(VLOOKUP(BK33,Fundamentus!A:U,16,FALSE)&gt;0.1,"Oper.Eficiente","n/a"))</f>
        <v>Oper. Ineficiente</v>
      </c>
      <c r="EZ33" s="42">
        <f>VLOOKUP(BK33,Fundamentus!A:U,14,FALSE)</f>
        <v>0</v>
      </c>
      <c r="FA33" s="20" t="str">
        <f>IF(VLOOKUP(BK33,Fundamentus!A:U,21,FALSE)&lt;0,"Negativo",IF(VLOOKUP(BK33,Fundamentus!A:U,21,FALSE)&lt;0.05,"Fraco",IF(VLOOKUP(BK33,Fundamentus!A:U,21,FALSE)&lt;0.1,"Bom",IF(VLOOKUP(BK33,Fundamentus!A:U,21,FALSE)&gt;0.1,"Muito bom","n/a"))))</f>
        <v>Negativo</v>
      </c>
      <c r="FC33" s="37" t="str">
        <f>IF(VLOOKUP(BK33,Fundamentus!A:U,15,FALSE)&gt;1,"Bom",IF(VLOOKUP(BK33,Fundamentus!A:U,15,FALSE)&lt;1,"Ruim","n/a"))</f>
        <v>Ruim</v>
      </c>
      <c r="FD33" s="20" t="str">
        <f>IF(VLOOKUP(BK33,Fundamentus!A:U,20,FALSE)&lt;0.5,"Baixa",IF(VLOOKUP(BK33,Fundamentus!A:U,20,FALSE)&lt;1,"Moderada",IF(VLOOKUP(BK33,Fundamentus!A:U,20,FALSE)&lt;2,"Alerta",IF(VLOOKUP(BK33,Fundamentus!A:U,20,FALSE)&gt;2,"Alta","n/a"))))</f>
        <v>Baixa</v>
      </c>
    </row>
    <row r="34" spans="1:160" s="5" customFormat="1" ht="11.25" hidden="1"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8">
        <v>17.329999999999998</v>
      </c>
      <c r="BC34" s="62">
        <v>18.02</v>
      </c>
      <c r="BD34" s="62">
        <v>17.97</v>
      </c>
      <c r="BE34" s="62">
        <v>18.100000000000001</v>
      </c>
      <c r="BF34" s="62">
        <v>18.190000000000001</v>
      </c>
      <c r="BG34" s="81">
        <v>17.850000000000001</v>
      </c>
      <c r="BH34" s="62">
        <v>18.239999999999998</v>
      </c>
      <c r="BI34" s="62">
        <v>18.34</v>
      </c>
      <c r="BJ34" s="62" cm="1">
        <f t="array" aca="1" ref="BJ34" ca="1">_FV(EH34,"Preço")</f>
        <v>18.28</v>
      </c>
      <c r="BK34" s="83" t="s">
        <v>31</v>
      </c>
      <c r="BL34" s="44" cm="1">
        <f t="array" aca="1" ref="BL34" ca="1">_FV(EH34,"Média de volume",TRUE)</f>
        <v>20750</v>
      </c>
      <c r="BM34" s="44">
        <v>13700</v>
      </c>
      <c r="BN34" s="44" cm="1">
        <f t="array" aca="1" ref="BN34" ca="1">_FV(EH34,"Volume")</f>
        <v>14000</v>
      </c>
      <c r="BO34" s="32" cm="1">
        <f t="array" aca="1" ref="BO34" ca="1">_FV(EH34,"Beta")</f>
        <v>0.89239999999999997</v>
      </c>
      <c r="BP34" s="86" cm="1">
        <f t="array" aca="1" ref="BP34" ca="1">_FV(EH34,"Variação (%)",TRUE)</f>
        <v>-3.2719999999999997E-3</v>
      </c>
      <c r="BQ34" s="48"/>
      <c r="BR34" s="48"/>
      <c r="BT34" s="20" cm="1">
        <f t="array" aca="1" ref="BT34" ca="1">_FV(EH34,"Baixo")</f>
        <v>18.16</v>
      </c>
      <c r="BU34" s="20" cm="1">
        <f t="array" aca="1" ref="BU34" ca="1">_FV(EH34,"Alto")</f>
        <v>18.36</v>
      </c>
      <c r="BV34" s="32"/>
      <c r="BW34" s="73">
        <f ca="1">SQRT(22.5*(BJ34/VLOOKUP(BK34,Fundamentus!A:U,3,FALSE))*(BJ34/VLOOKUP(BK34,Fundamentus!A:U,4,FALSE)))</f>
        <v>24.686979052845814</v>
      </c>
      <c r="BY34" s="72">
        <f t="shared" ca="1" si="0"/>
        <v>-3.271537622682591E-3</v>
      </c>
      <c r="BZ34" s="8"/>
      <c r="CA34" s="71">
        <f t="shared" si="36"/>
        <v>14.4</v>
      </c>
      <c r="CB34" s="71">
        <f t="shared" si="1"/>
        <v>20.18</v>
      </c>
      <c r="CC34" s="71">
        <f t="shared" si="37"/>
        <v>17.392704918032788</v>
      </c>
      <c r="CD34" s="17"/>
      <c r="CE34" s="43">
        <f t="shared" si="19"/>
        <v>17.996625190872134</v>
      </c>
      <c r="CF34" s="18">
        <f>FORECAST("04/07/2025", BF34:BI34, $BF$5:$BI$5)</f>
        <v>18.365000000000009</v>
      </c>
      <c r="CG34" s="43">
        <f t="shared" si="20"/>
        <v>18.733374809127884</v>
      </c>
      <c r="CI34" s="17"/>
      <c r="CJ34" s="20">
        <f>CA34-2*(CB34-CM34)</f>
        <v>9.3200000000000021</v>
      </c>
      <c r="CK34" s="20">
        <f>CM34-(CB34-CA34)</f>
        <v>11.860000000000001</v>
      </c>
      <c r="CL34" s="20">
        <f>2*CM34-CB34</f>
        <v>15.100000000000001</v>
      </c>
      <c r="CM34" s="48">
        <f>(CB34+CA34+BI34)/3</f>
        <v>17.64</v>
      </c>
      <c r="CN34" s="20">
        <f>2*CM34-CA34</f>
        <v>20.880000000000003</v>
      </c>
      <c r="CO34" s="20">
        <f>CM34+(CB34-CA34)</f>
        <v>23.42</v>
      </c>
      <c r="CP34" s="20">
        <f>CB34+2*(CM34-CA34)</f>
        <v>26.66</v>
      </c>
      <c r="CQ34" s="2" cm="1">
        <f t="array" aca="1" ref="CQ34" ca="1">MAX(_xlfn._xlws.FILTER(CJ34:CP34,CJ34:CP34&lt;BJ34))</f>
        <v>17.64</v>
      </c>
      <c r="CR34" s="2" cm="1">
        <f t="array" aca="1" ref="CR34" ca="1">MIN(_xlfn._xlws.FILTER($CJ34:$CP34,$CJ34:$CP34&gt;BJ34))</f>
        <v>20.880000000000003</v>
      </c>
      <c r="CS34" s="19">
        <f t="shared" ca="1" si="55"/>
        <v>0.18367346938775531</v>
      </c>
      <c r="CT34" s="23">
        <f t="shared" ca="1" si="56"/>
        <v>-9.1836734693877653E-2</v>
      </c>
      <c r="CU34" s="23">
        <f t="shared" ca="1" si="57"/>
        <v>-6.1224489795918435E-2</v>
      </c>
      <c r="CV34" s="23">
        <f t="shared" ca="1" si="58"/>
        <v>-3.6734693877551058E-2</v>
      </c>
      <c r="CW34" s="23">
        <f t="shared" ca="1" si="59"/>
        <v>-2.0408163265306145E-2</v>
      </c>
      <c r="CX34" s="23">
        <f t="shared" ca="1" si="60"/>
        <v>-1.0804321728691488E-2</v>
      </c>
      <c r="CY34" s="23">
        <f t="shared" ca="1" si="61"/>
        <v>-5.5658627087198575E-3</v>
      </c>
      <c r="CZ34" s="23">
        <f t="shared" ca="1" si="62"/>
        <v>-2.8257456828885432E-3</v>
      </c>
      <c r="DA34" s="24">
        <f t="shared" ca="1" si="63"/>
        <v>2.8257456828885432E-3</v>
      </c>
      <c r="DB34" s="24">
        <f t="shared" ca="1" si="64"/>
        <v>5.5658627087198575E-3</v>
      </c>
      <c r="DC34" s="24">
        <f t="shared" ca="1" si="65"/>
        <v>1.0804321728691488E-2</v>
      </c>
      <c r="DD34" s="24">
        <f t="shared" ca="1" si="66"/>
        <v>2.0408163265306145E-2</v>
      </c>
      <c r="DE34" s="24">
        <f t="shared" ca="1" si="67"/>
        <v>3.6734693877551058E-2</v>
      </c>
      <c r="DF34" s="24">
        <f t="shared" ca="1" si="68"/>
        <v>6.1224489795918435E-2</v>
      </c>
      <c r="DG34" s="24">
        <f t="shared" ca="1" si="69"/>
        <v>9.1836734693877653E-2</v>
      </c>
      <c r="DI34" s="19" cm="1">
        <f t="array" aca="1" ref="DI34" ca="1">MAX(_xlfn._xlws.FILTER(CT34:DG34,CT34:DG34&lt;BP34))</f>
        <v>-5.5658627087198575E-3</v>
      </c>
      <c r="DJ34" s="19" cm="1">
        <f t="array" aca="1" ref="DJ34" ca="1">MIN(_xlfn._xlws.FILTER(CT34:DG34,CT34:DG34&gt;BP34))</f>
        <v>-2.8257456828885432E-3</v>
      </c>
      <c r="DK34" s="2" cm="1">
        <f t="array" aca="1" ref="DK34" ca="1">_FV(EH34,"Fechamento anterior",TRUE)</f>
        <v>18.34</v>
      </c>
      <c r="DL34" s="36">
        <f ca="1">(BJ34-DM34)/(DN34-DM34)</f>
        <v>0.83730916030537572</v>
      </c>
      <c r="DM34" s="18">
        <f t="shared" ca="1" si="70"/>
        <v>18.237922077922079</v>
      </c>
      <c r="DN34" s="18">
        <f t="shared" ca="1" si="71"/>
        <v>18.288175824175823</v>
      </c>
      <c r="DO34" s="9"/>
      <c r="DP34" s="9"/>
      <c r="DQ34" s="94">
        <v>2.756204605610154E-3</v>
      </c>
      <c r="DR34" s="94">
        <v>2.756204605610154E-3</v>
      </c>
      <c r="DS34" s="94">
        <v>1.5648377731154774E-2</v>
      </c>
      <c r="DT34" s="94">
        <f t="shared" ca="1" si="12"/>
        <v>2.7401170258313143E-3</v>
      </c>
      <c r="DU34" s="87">
        <f ca="1">(BJ34-CF34)/(CF34-CE34)</f>
        <v>-0.23074324816413175</v>
      </c>
      <c r="DV34" s="46"/>
      <c r="DW34" s="43">
        <f>_xlfn.STDEV.P(BF34:BI34)</f>
        <v>0.1841874045639379</v>
      </c>
      <c r="DX34" s="76">
        <f ca="1">BO34-$DT$2</f>
        <v>-0.10470000000000013</v>
      </c>
      <c r="DY34" s="76">
        <f ca="1">BO34-BP34*100</f>
        <v>1.2196</v>
      </c>
      <c r="DZ34" s="101"/>
      <c r="EA34" s="100">
        <v>-3.0399999999999983E-2</v>
      </c>
      <c r="EB34" s="107">
        <v>1.6271999999999998</v>
      </c>
      <c r="EC34" s="107">
        <v>1.395</v>
      </c>
      <c r="ED34" s="98">
        <f t="shared" ca="1" si="13"/>
        <v>-1.3243</v>
      </c>
      <c r="EE34" s="66"/>
      <c r="EF34" s="66"/>
      <c r="EH34" s="5" t="e" vm="34">
        <v>#VALUE!</v>
      </c>
      <c r="EJ34" s="10" cm="1">
        <f t="array" aca="1" ref="EJ34" ca="1">_FV(EH34,"Ações em circulação",TRUE)</f>
        <v>41800000</v>
      </c>
      <c r="EK34" s="21">
        <f>VLOOKUP(BK34,Fundamentus!A:U,5,FALSE)</f>
        <v>1.288</v>
      </c>
      <c r="EL34" s="2">
        <f ca="1">(BJ34*EJ34)/EK34</f>
        <v>593248447.20496893</v>
      </c>
      <c r="EM34" s="20">
        <v>93921873.913043469</v>
      </c>
      <c r="EN34" s="20">
        <f t="shared" ca="1" si="14"/>
        <v>93614604.968944088</v>
      </c>
      <c r="EO34" s="2"/>
      <c r="EP34" s="19">
        <f t="shared" ca="1" si="15"/>
        <v>-3.2715376226827297E-3</v>
      </c>
      <c r="EQ34" s="40" t="str">
        <f>IF(VLOOKUP(BK34,Fundamentus!A:U,3,FALSE)&lt;15,"Bom",IF(VLOOKUP(BK34,Fundamentus!A:U,3,FALSE)&gt;15,"Ruim","n/a"))</f>
        <v>Bom</v>
      </c>
      <c r="ER34" s="36" t="str">
        <f>IF(VLOOKUP(BK34,Fundamentus!A:U,4,FALSE)&lt;1,"Baixo",IF(VLOOKUP(BK34,Fundamentus!A:U,4,FALSE)&lt;1.5,"Moderado",IF(VLOOKUP(BK34,Fundamentus!A:U,4,FALSE)&gt;1.5,"Alto","n/a")))</f>
        <v>Alto</v>
      </c>
      <c r="ES34" s="20" t="str">
        <f>IF(VLOOKUP(BK34,Fundamentus!A:U,8,FALSE)&lt;0,"Risco elevado",IF(VLOOKUP(BK34,Fundamentus!A:U,8,FALSE)&lt;1,"Saudável",IF(VLOOKUP(BK34,Fundamentus!A:U,8,FALSE)&lt;3,"Estável",IF(VLOOKUP(BK34,Fundamentus!A:U,8,FALSE)&gt;3,"Alerta","n/a"))))</f>
        <v>Alerta</v>
      </c>
      <c r="ET34" s="36" t="str">
        <f t="shared" si="16"/>
        <v>Bom</v>
      </c>
      <c r="EU34" s="20" t="str">
        <f>IF(VLOOKUP(BK34,Fundamentus!A:U,12,FALSE)&lt;2,"Subvalorizada",IF(VLOOKUP(BK34,Fundamentus!A:U,12,FALSE)&lt;6,"Muita barata",IF(VLOOKUP(BK34,Fundamentus!A:U,12,FALSE)&lt;6,"Barata",IF(VLOOKUP(BK34,Fundamentus!A:U,12,FALSE)&lt;8,"Atrativa",IF(VLOOKUP(BK34,Fundamentus!A:U,12,FALSE)&gt;8,"Supervalorizada","n/a")))))</f>
        <v>Muita barata</v>
      </c>
      <c r="EV34" s="2"/>
      <c r="EW34" s="20" t="str">
        <f>IF(VLOOKUP(BK34,Fundamentus!A:U,17,FALSE)&lt;0.1,"Fraco retorno",IF(VLOOKUP(BK34,Fundamentus!A:U,17,FALSE)&gt;0.1,"Bom retorno","n/a"))</f>
        <v>Bom retorno</v>
      </c>
      <c r="EX34" s="20" t="str">
        <f>IF(VLOOKUP(BK34,Fundamentus!A:U,16,FALSE)&lt;0.1,"Ineficiente",IF(VLOOKUP(BK34,Fundamentus!A:U,16,FALSE)&gt;0.1,"Eficiente","n/a"))</f>
        <v>Eficiente</v>
      </c>
      <c r="EY34" s="41" t="str">
        <f>IF(VLOOKUP(BK34,Fundamentus!A:U,16,FALSE)&lt;0.1,"Oper. Ineficiente",IF(VLOOKUP(BK34,Fundamentus!A:U,16,FALSE)&gt;0.1,"Oper.Eficiente","n/a"))</f>
        <v>Oper.Eficiente</v>
      </c>
      <c r="EZ34" s="42">
        <f>VLOOKUP(BK34,Fundamentus!A:U,14,FALSE)</f>
        <v>0.1578</v>
      </c>
      <c r="FA34" s="20" t="str">
        <f>IF(VLOOKUP(BK34,Fundamentus!A:U,21,FALSE)&lt;0,"Negativo",IF(VLOOKUP(BK34,Fundamentus!A:U,21,FALSE)&lt;0.05,"Fraco",IF(VLOOKUP(BK34,Fundamentus!A:U,21,FALSE)&lt;0.1,"Bom",IF(VLOOKUP(BK34,Fundamentus!A:U,21,FALSE)&gt;0.1,"Muito bom","n/a"))))</f>
        <v>Fraco</v>
      </c>
      <c r="FC34" s="37" t="str">
        <f>IF(VLOOKUP(BK34,Fundamentus!A:U,15,FALSE)&gt;1,"Bom",IF(VLOOKUP(BK34,Fundamentus!A:U,15,FALSE)&lt;1,"Ruim","n/a"))</f>
        <v>Bom</v>
      </c>
      <c r="FD34" s="20" t="str">
        <f>IF(VLOOKUP(BK34,Fundamentus!A:U,20,FALSE)&lt;0.5,"Baixa",IF(VLOOKUP(BK34,Fundamentus!A:U,20,FALSE)&lt;1,"Moderada",IF(VLOOKUP(BK34,Fundamentus!A:U,20,FALSE)&lt;2,"Alerta",IF(VLOOKUP(BK34,Fundamentus!A:U,20,FALSE)&gt;2,"Alta","n/a"))))</f>
        <v>Baixa</v>
      </c>
    </row>
    <row r="35" spans="1:160" s="2" customFormat="1" ht="11.25" hidden="1"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8">
        <v>12.92</v>
      </c>
      <c r="BC35" s="62">
        <v>13.9</v>
      </c>
      <c r="BD35" s="62">
        <v>14.33</v>
      </c>
      <c r="BE35" s="62">
        <v>14</v>
      </c>
      <c r="BF35" s="62">
        <v>13.9</v>
      </c>
      <c r="BG35" s="81">
        <v>13.7</v>
      </c>
      <c r="BH35" s="62">
        <v>13.67</v>
      </c>
      <c r="BI35" s="62">
        <v>13.43</v>
      </c>
      <c r="BJ35" s="62" cm="1">
        <f t="array" aca="1" ref="BJ35" ca="1">_FV(EH35,"Preço")</f>
        <v>13.7</v>
      </c>
      <c r="BK35" s="83" t="s">
        <v>187</v>
      </c>
      <c r="BL35" s="44" cm="1">
        <f t="array" aca="1" ref="BL35" ca="1">_FV(EH35,"Média de volume",TRUE)</f>
        <v>218450</v>
      </c>
      <c r="BM35" s="44">
        <v>201000</v>
      </c>
      <c r="BN35" s="44" cm="1">
        <f t="array" aca="1" ref="BN35" ca="1">_FV(EH35,"Volume")</f>
        <v>91800</v>
      </c>
      <c r="BO35" s="32" cm="1">
        <f t="array" aca="1" ref="BO35" ca="1">_FV(EH35,"Beta")</f>
        <v>1.0061</v>
      </c>
      <c r="BP35" s="86" cm="1">
        <f t="array" aca="1" ref="BP35" ca="1">_FV(EH35,"Variação (%)",TRUE)</f>
        <v>2.0104E-2</v>
      </c>
      <c r="BQ35" s="48"/>
      <c r="BR35" s="48"/>
      <c r="BT35" s="20" cm="1">
        <f t="array" aca="1" ref="BT35" ca="1">_FV(EH35,"Baixo")</f>
        <v>13.31</v>
      </c>
      <c r="BU35" s="20" cm="1">
        <f t="array" aca="1" ref="BU35" ca="1">_FV(EH35,"Alto")</f>
        <v>13.74</v>
      </c>
      <c r="BV35" s="32"/>
      <c r="BW35" s="73">
        <f ca="1">SQRT(22.5*(BJ35/VLOOKUP(BK35,Fundamentus!A:U,3,FALSE))*(BJ35/VLOOKUP(BK35,Fundamentus!A:U,4,FALSE)))</f>
        <v>20.277674482336245</v>
      </c>
      <c r="BY35" s="72">
        <f t="shared" ca="1" si="0"/>
        <v>2.0104244229337272E-2</v>
      </c>
      <c r="BZ35" s="8"/>
      <c r="CA35" s="71">
        <f t="shared" si="36"/>
        <v>9.64</v>
      </c>
      <c r="CB35" s="71">
        <f t="shared" si="1"/>
        <v>15.23</v>
      </c>
      <c r="CC35" s="71">
        <f t="shared" si="37"/>
        <v>12.70754098360656</v>
      </c>
      <c r="CD35" s="17"/>
      <c r="CE35" s="43">
        <f t="shared" si="19"/>
        <v>12.981383453647695</v>
      </c>
      <c r="CF35" s="18">
        <f>FORECAST("04/07/2025", BF35:BI35, $BF$5:$BI$5)</f>
        <v>13.314999999999941</v>
      </c>
      <c r="CG35" s="43">
        <f t="shared" si="20"/>
        <v>13.648616546352187</v>
      </c>
      <c r="CI35" s="17"/>
      <c r="CJ35" s="20">
        <f>CA35-2*(CB35-CM35)</f>
        <v>4.7133333333333312</v>
      </c>
      <c r="CK35" s="20">
        <f>CM35-(CB35-CA35)</f>
        <v>7.1766666666666659</v>
      </c>
      <c r="CL35" s="20">
        <f>2*CM35-CB35</f>
        <v>10.303333333333331</v>
      </c>
      <c r="CM35" s="48">
        <f>(CB35+CA35+BI35)/3</f>
        <v>12.766666666666666</v>
      </c>
      <c r="CN35" s="20">
        <f>2*CM35-CA35</f>
        <v>15.893333333333331</v>
      </c>
      <c r="CO35" s="20">
        <f>CM35+(CB35-CA35)</f>
        <v>18.356666666666666</v>
      </c>
      <c r="CP35" s="20">
        <f>CB35+2*(CM35-CA35)</f>
        <v>21.483333333333331</v>
      </c>
      <c r="CQ35" s="2" cm="1">
        <f t="array" aca="1" ref="CQ35" ca="1">MAX(_xlfn._xlws.FILTER(CJ35:CP35,CJ35:CP35&lt;BJ35))</f>
        <v>12.766666666666666</v>
      </c>
      <c r="CR35" s="2" cm="1">
        <f t="array" aca="1" ref="CR35" ca="1">MIN(_xlfn._xlws.FILTER($CJ35:$CP35,$CJ35:$CP35&gt;BJ35))</f>
        <v>15.893333333333331</v>
      </c>
      <c r="CS35" s="19">
        <f t="shared" ca="1" si="55"/>
        <v>0.24490861618798943</v>
      </c>
      <c r="CT35" s="23">
        <f t="shared" ca="1" si="56"/>
        <v>-0.12245430809399471</v>
      </c>
      <c r="CU35" s="23">
        <f t="shared" ca="1" si="57"/>
        <v>-8.1636205395996475E-2</v>
      </c>
      <c r="CV35" s="23">
        <f t="shared" ca="1" si="58"/>
        <v>-4.8981723237597884E-2</v>
      </c>
      <c r="CW35" s="23">
        <f t="shared" ca="1" si="59"/>
        <v>-2.7212068465332157E-2</v>
      </c>
      <c r="CX35" s="23">
        <f t="shared" ca="1" si="60"/>
        <v>-1.440638918752879E-2</v>
      </c>
      <c r="CY35" s="23">
        <f t="shared" ca="1" si="61"/>
        <v>-7.4214732178178614E-3</v>
      </c>
      <c r="CZ35" s="23">
        <f t="shared" ca="1" si="62"/>
        <v>-3.7678248644306064E-3</v>
      </c>
      <c r="DA35" s="24">
        <f t="shared" ca="1" si="63"/>
        <v>3.7678248644306064E-3</v>
      </c>
      <c r="DB35" s="24">
        <f t="shared" ca="1" si="64"/>
        <v>7.4214732178178614E-3</v>
      </c>
      <c r="DC35" s="24">
        <f t="shared" ca="1" si="65"/>
        <v>1.440638918752879E-2</v>
      </c>
      <c r="DD35" s="24">
        <f t="shared" ca="1" si="66"/>
        <v>2.7212068465332157E-2</v>
      </c>
      <c r="DE35" s="24">
        <f t="shared" ca="1" si="67"/>
        <v>4.8981723237597884E-2</v>
      </c>
      <c r="DF35" s="24">
        <f t="shared" ca="1" si="68"/>
        <v>8.1636205395996475E-2</v>
      </c>
      <c r="DG35" s="24">
        <f t="shared" ca="1" si="69"/>
        <v>0.12245430809399471</v>
      </c>
      <c r="DI35" s="19" cm="1">
        <f t="array" aca="1" ref="DI35" ca="1">MAX(_xlfn._xlws.FILTER(CT35:DG35,CT35:DG35&lt;BP35))</f>
        <v>1.440638918752879E-2</v>
      </c>
      <c r="DJ35" s="19" cm="1">
        <f t="array" aca="1" ref="DJ35" ca="1">MIN(_xlfn._xlws.FILTER(CT35:DG35,CT35:DG35&gt;BP35))</f>
        <v>2.7212068465332157E-2</v>
      </c>
      <c r="DK35" s="2" cm="1">
        <f t="array" aca="1" ref="DK35" ca="1">_FV(EH35,"Fechamento anterior",TRUE)</f>
        <v>13.43</v>
      </c>
      <c r="DL35" s="36">
        <f ca="1">(BJ35-DM35)/(DN35-DM35)</f>
        <v>0.44494750479069362</v>
      </c>
      <c r="DM35" s="18">
        <f t="shared" ca="1" si="70"/>
        <v>13.623477806788511</v>
      </c>
      <c r="DN35" s="18">
        <f t="shared" ca="1" si="71"/>
        <v>13.795458079489411</v>
      </c>
      <c r="DO35" s="9"/>
      <c r="DP35" s="9"/>
      <c r="DQ35" s="94">
        <v>3.6654844677767367E-3</v>
      </c>
      <c r="DR35" s="94">
        <v>1.6271186440677949E-2</v>
      </c>
      <c r="DS35" s="94">
        <v>7.6982908198879145E-3</v>
      </c>
      <c r="DT35" s="94">
        <f t="shared" ca="1" si="12"/>
        <v>1.2805679277803367E-2</v>
      </c>
      <c r="DU35" s="87">
        <f ca="1">(BJ35-CF35)/(CF35-CE35)</f>
        <v>1.1540194999607705</v>
      </c>
      <c r="DV35" s="46"/>
      <c r="DW35" s="43">
        <f>_xlfn.STDEV.P(BF35:BI35)</f>
        <v>0.16680827317612296</v>
      </c>
      <c r="DX35" s="76">
        <f ca="1">BO35-$DT$2</f>
        <v>8.999999999999897E-3</v>
      </c>
      <c r="DY35" s="76">
        <f ca="1">BO35-BP35*100</f>
        <v>-1.0043000000000002</v>
      </c>
      <c r="DZ35" s="101"/>
      <c r="EA35" s="100">
        <v>-2.4195000000000002</v>
      </c>
      <c r="EB35" s="107">
        <v>1.7565999999999997</v>
      </c>
      <c r="EC35" s="107">
        <v>-0.85079999999999978</v>
      </c>
      <c r="ED35" s="98">
        <f t="shared" ca="1" si="13"/>
        <v>1.0133000000000001</v>
      </c>
      <c r="EE35" s="66"/>
      <c r="EF35" s="66"/>
      <c r="EH35" s="2" t="e" vm="35">
        <v>#VALUE!</v>
      </c>
      <c r="EJ35" s="10" cm="1">
        <f t="array" aca="1" ref="EJ35" ca="1">_FV(EH35,"Ações em circulação",TRUE)</f>
        <v>179393900</v>
      </c>
      <c r="EK35" s="21">
        <f>VLOOKUP(BK35,Fundamentus!A:U,5,FALSE)</f>
        <v>1.39</v>
      </c>
      <c r="EL35" s="2">
        <f ca="1">(BJ35*EJ35)/EK35</f>
        <v>1768126928.057554</v>
      </c>
      <c r="EM35" s="20">
        <v>259472110.45100722</v>
      </c>
      <c r="EN35" s="20">
        <f t="shared" ca="1" si="14"/>
        <v>264688601.13021582</v>
      </c>
      <c r="EP35" s="19">
        <f t="shared" ca="1" si="15"/>
        <v>2.0104244229337098E-2</v>
      </c>
      <c r="EQ35" s="40" t="str">
        <f>IF(VLOOKUP(BK35,Fundamentus!A:U,3,FALSE)&lt;15,"Bom",IF(VLOOKUP(BK35,Fundamentus!A:U,3,FALSE)&gt;15,"Ruim","n/a"))</f>
        <v>Bom</v>
      </c>
      <c r="ER35" s="36" t="str">
        <f>IF(VLOOKUP(BK35,Fundamentus!A:U,4,FALSE)&lt;1,"Baixo",IF(VLOOKUP(BK35,Fundamentus!A:U,4,FALSE)&lt;1.5,"Moderado",IF(VLOOKUP(BK35,Fundamentus!A:U,4,FALSE)&gt;1.5,"Alto","n/a")))</f>
        <v>Moderado</v>
      </c>
      <c r="ES35" s="20" t="str">
        <f>IF(VLOOKUP(BK35,Fundamentus!A:U,8,FALSE)&lt;0,"Risco elevado",IF(VLOOKUP(BK35,Fundamentus!A:U,8,FALSE)&lt;1,"Saudável",IF(VLOOKUP(BK35,Fundamentus!A:U,8,FALSE)&lt;3,"Estável",IF(VLOOKUP(BK35,Fundamentus!A:U,8,FALSE)&gt;3,"Alerta","n/a"))))</f>
        <v>Estável</v>
      </c>
      <c r="ET35" s="36" t="str">
        <f t="shared" si="16"/>
        <v>Bom</v>
      </c>
      <c r="EU35" s="20" t="str">
        <f>IF(VLOOKUP(BK35,Fundamentus!A:U,12,FALSE)&lt;2,"Subvalorizada",IF(VLOOKUP(BK35,Fundamentus!A:U,12,FALSE)&lt;6,"Muita barata",IF(VLOOKUP(BK35,Fundamentus!A:U,12,FALSE)&lt;6,"Barata",IF(VLOOKUP(BK35,Fundamentus!A:U,12,FALSE)&lt;8,"Atrativa",IF(VLOOKUP(BK35,Fundamentus!A:U,12,FALSE)&gt;8,"Supervalorizada","n/a")))))</f>
        <v>Muita barata</v>
      </c>
      <c r="EW35" s="20" t="str">
        <f>IF(VLOOKUP(BK35,Fundamentus!A:U,17,FALSE)&lt;0.1,"Fraco retorno",IF(VLOOKUP(BK35,Fundamentus!A:U,17,FALSE)&gt;0.1,"Bom retorno","n/a"))</f>
        <v>Bom retorno</v>
      </c>
      <c r="EX35" s="20" t="str">
        <f>IF(VLOOKUP(BK35,Fundamentus!A:U,16,FALSE)&lt;0.1,"Ineficiente",IF(VLOOKUP(BK35,Fundamentus!A:U,16,FALSE)&gt;0.1,"Eficiente","n/a"))</f>
        <v>Eficiente</v>
      </c>
      <c r="EY35" s="41" t="str">
        <f>IF(VLOOKUP(BK35,Fundamentus!A:U,16,FALSE)&lt;0.1,"Oper. Ineficiente",IF(VLOOKUP(BK35,Fundamentus!A:U,16,FALSE)&gt;0.1,"Oper.Eficiente","n/a"))</f>
        <v>Oper.Eficiente</v>
      </c>
      <c r="EZ35" s="42">
        <f>VLOOKUP(BK35,Fundamentus!A:U,14,FALSE)</f>
        <v>0.1497</v>
      </c>
      <c r="FA35" s="20" t="str">
        <f>IF(VLOOKUP(BK35,Fundamentus!A:U,21,FALSE)&lt;0,"Negativo",IF(VLOOKUP(BK35,Fundamentus!A:U,21,FALSE)&lt;0.05,"Fraco",IF(VLOOKUP(BK35,Fundamentus!A:U,21,FALSE)&lt;0.1,"Bom",IF(VLOOKUP(BK35,Fundamentus!A:U,21,FALSE)&gt;0.1,"Muito bom","n/a"))))</f>
        <v>Bom</v>
      </c>
      <c r="FC35" s="37" t="str">
        <f>IF(VLOOKUP(BK35,Fundamentus!A:U,15,FALSE)&gt;1,"Bom",IF(VLOOKUP(BK35,Fundamentus!A:U,15,FALSE)&lt;1,"Ruim","n/a"))</f>
        <v>Bom</v>
      </c>
      <c r="FD35" s="20" t="str">
        <f>IF(VLOOKUP(BK35,Fundamentus!A:U,20,FALSE)&lt;0.5,"Baixa",IF(VLOOKUP(BK35,Fundamentus!A:U,20,FALSE)&lt;1,"Moderada",IF(VLOOKUP(BK35,Fundamentus!A:U,20,FALSE)&lt;2,"Alerta",IF(VLOOKUP(BK35,Fundamentus!A:U,20,FALSE)&gt;2,"Alta","n/a"))))</f>
        <v>Baixa</v>
      </c>
    </row>
    <row r="36" spans="1:160" s="2" customFormat="1" ht="11.25" hidden="1"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8">
        <v>14.5</v>
      </c>
      <c r="BC36" s="62">
        <v>15.2</v>
      </c>
      <c r="BD36" s="62">
        <v>14.96</v>
      </c>
      <c r="BE36" s="62">
        <v>14.54</v>
      </c>
      <c r="BF36" s="62">
        <v>15.01</v>
      </c>
      <c r="BG36" s="81">
        <v>14.96</v>
      </c>
      <c r="BH36" s="62">
        <v>14.27</v>
      </c>
      <c r="BI36" s="62">
        <v>14.55</v>
      </c>
      <c r="BJ36" s="62" cm="1">
        <f t="array" aca="1" ref="BJ36" ca="1">_FV(EH36,"Preço")</f>
        <v>14.56</v>
      </c>
      <c r="BK36" s="83" t="s">
        <v>33</v>
      </c>
      <c r="BL36" s="44" cm="1">
        <f t="array" aca="1" ref="BL36" ca="1">_FV(EH36,"Média de volume",TRUE)</f>
        <v>9003070</v>
      </c>
      <c r="BM36" s="44">
        <v>14300</v>
      </c>
      <c r="BN36" s="44" cm="1">
        <f t="array" aca="1" ref="BN36" ca="1">_FV(EH36,"Volume")</f>
        <v>24100</v>
      </c>
      <c r="BO36" s="32" cm="1">
        <f t="array" aca="1" ref="BO36" ca="1">_FV(EH36,"Beta")</f>
        <v>0.65069999999999995</v>
      </c>
      <c r="BP36" s="86" cm="1">
        <f t="array" aca="1" ref="BP36" ca="1">_FV(EH36,"Variação (%)",TRUE)</f>
        <v>6.8729999999999996E-4</v>
      </c>
      <c r="BQ36" s="48"/>
      <c r="BR36" s="48"/>
      <c r="BT36" s="20" cm="1">
        <f t="array" aca="1" ref="BT36" ca="1">_FV(EH36,"Baixo")</f>
        <v>14.45</v>
      </c>
      <c r="BU36" s="20" cm="1">
        <f t="array" aca="1" ref="BU36" ca="1">_FV(EH36,"Alto")</f>
        <v>14.57</v>
      </c>
      <c r="BV36" s="32"/>
      <c r="BW36" s="73">
        <f ca="1">SQRT(22.5*(BJ36/VLOOKUP(BK36,Fundamentus!A:U,3,FALSE))*(BJ36/VLOOKUP(BK36,Fundamentus!A:U,4,FALSE)))</f>
        <v>30.868525646430253</v>
      </c>
      <c r="BY36" s="72">
        <f t="shared" ca="1" si="0"/>
        <v>6.872852233676829E-4</v>
      </c>
      <c r="BZ36" s="8"/>
      <c r="CA36" s="71">
        <f t="shared" si="36"/>
        <v>14.27</v>
      </c>
      <c r="CB36" s="71">
        <f t="shared" si="1"/>
        <v>19.600000000000001</v>
      </c>
      <c r="CC36" s="71">
        <f t="shared" si="37"/>
        <v>16.24336065573771</v>
      </c>
      <c r="CD36" s="17"/>
      <c r="CE36" s="43">
        <f t="shared" si="19"/>
        <v>13.570840743318957</v>
      </c>
      <c r="CF36" s="18">
        <f>FORECAST("04/07/2025", BF36:BI36, $BF$5:$BI$5)</f>
        <v>14.179999999999836</v>
      </c>
      <c r="CG36" s="43">
        <f t="shared" si="20"/>
        <v>14.789159256680716</v>
      </c>
      <c r="CI36" s="17"/>
      <c r="CJ36" s="20">
        <f>CA36-2*(CB36-CM36)</f>
        <v>7.3499999999999979</v>
      </c>
      <c r="CK36" s="20">
        <f>CM36-(CB36-CA36)</f>
        <v>10.809999999999999</v>
      </c>
      <c r="CL36" s="20">
        <f>2*CM36-CB36</f>
        <v>12.68</v>
      </c>
      <c r="CM36" s="48">
        <f>(CB36+CA36+BI36)/3</f>
        <v>16.14</v>
      </c>
      <c r="CN36" s="20">
        <f>2*CM36-CA36</f>
        <v>18.010000000000002</v>
      </c>
      <c r="CO36" s="20">
        <f>CM36+(CB36-CA36)</f>
        <v>21.470000000000002</v>
      </c>
      <c r="CP36" s="20">
        <f>CB36+2*(CM36-CA36)</f>
        <v>23.340000000000003</v>
      </c>
      <c r="CQ36" s="2" cm="1">
        <f t="array" aca="1" ref="CQ36" ca="1">MAX(_xlfn._xlws.FILTER(CJ36:CP36,CJ36:CP36&lt;BJ36))</f>
        <v>12.68</v>
      </c>
      <c r="CR36" s="2" cm="1">
        <f t="array" aca="1" ref="CR36" ca="1">MIN(_xlfn._xlws.FILTER($CJ36:$CP36,$CJ36:$CP36&gt;BJ36))</f>
        <v>16.14</v>
      </c>
      <c r="CS36" s="19">
        <f t="shared" ca="1" si="55"/>
        <v>0.2728706624605679</v>
      </c>
      <c r="CT36" s="23">
        <f t="shared" ca="1" si="56"/>
        <v>-0.13643533123028395</v>
      </c>
      <c r="CU36" s="23">
        <f t="shared" ca="1" si="57"/>
        <v>-9.0956887486855972E-2</v>
      </c>
      <c r="CV36" s="23">
        <f t="shared" ca="1" si="58"/>
        <v>-5.4574132492113583E-2</v>
      </c>
      <c r="CW36" s="23">
        <f t="shared" ca="1" si="59"/>
        <v>-3.0318962495618655E-2</v>
      </c>
      <c r="CX36" s="23">
        <f t="shared" ca="1" si="60"/>
        <v>-1.6051215438856934E-2</v>
      </c>
      <c r="CY36" s="23">
        <f t="shared" ca="1" si="61"/>
        <v>-8.2688079533505422E-3</v>
      </c>
      <c r="CZ36" s="23">
        <f t="shared" ca="1" si="62"/>
        <v>-4.1980101917010451E-3</v>
      </c>
      <c r="DA36" s="24">
        <f t="shared" ca="1" si="63"/>
        <v>4.1980101917010451E-3</v>
      </c>
      <c r="DB36" s="24">
        <f t="shared" ca="1" si="64"/>
        <v>8.2688079533505422E-3</v>
      </c>
      <c r="DC36" s="24">
        <f t="shared" ca="1" si="65"/>
        <v>1.6051215438856934E-2</v>
      </c>
      <c r="DD36" s="24">
        <f t="shared" ca="1" si="66"/>
        <v>3.0318962495618655E-2</v>
      </c>
      <c r="DE36" s="24">
        <f t="shared" ca="1" si="67"/>
        <v>5.4574132492113583E-2</v>
      </c>
      <c r="DF36" s="24">
        <f t="shared" ca="1" si="68"/>
        <v>9.0956887486855972E-2</v>
      </c>
      <c r="DG36" s="24">
        <f t="shared" ca="1" si="69"/>
        <v>0.13643533123028395</v>
      </c>
      <c r="DI36" s="19" cm="1">
        <f t="array" aca="1" ref="DI36" ca="1">MAX(_xlfn._xlws.FILTER(CT36:DG36,CT36:DG36&lt;BP36))</f>
        <v>-4.1980101917010451E-3</v>
      </c>
      <c r="DJ36" s="19" cm="1">
        <f t="array" aca="1" ref="DJ36" ca="1">MIN(_xlfn._xlws.FILTER(CT36:DG36,CT36:DG36&gt;BP36))</f>
        <v>4.1980101917010451E-3</v>
      </c>
      <c r="DK36" s="2" cm="1">
        <f t="array" aca="1" ref="DK36" ca="1">_FV(EH36,"Fechamento anterior",TRUE)</f>
        <v>14.55</v>
      </c>
      <c r="DL36" s="36">
        <f ca="1">(BJ36-DM36)/(DN36-DM36)</f>
        <v>0.5818584510259609</v>
      </c>
      <c r="DM36" s="18">
        <f t="shared" ca="1" si="70"/>
        <v>14.488918951710751</v>
      </c>
      <c r="DN36" s="18">
        <f t="shared" ca="1" si="71"/>
        <v>14.61108104828925</v>
      </c>
      <c r="DO36" s="9"/>
      <c r="DP36" s="9"/>
      <c r="DQ36" s="94">
        <v>1.5993421728851879E-2</v>
      </c>
      <c r="DR36" s="94">
        <v>9.4078951346187566E-3</v>
      </c>
      <c r="DS36" s="94">
        <v>1.339465827483257E-2</v>
      </c>
      <c r="DT36" s="94">
        <f t="shared" ca="1" si="12"/>
        <v>8.3960203834020902E-3</v>
      </c>
      <c r="DU36" s="87">
        <f ca="1">(BJ36-CF36)/(CF36-CE36)</f>
        <v>0.6238105976927395</v>
      </c>
      <c r="DV36" s="46"/>
      <c r="DW36" s="43">
        <f>_xlfn.STDEV.P(BF36:BI36)</f>
        <v>0.30457962834043928</v>
      </c>
      <c r="DX36" s="76">
        <f ca="1">BO36-$DT$2</f>
        <v>-0.34640000000000015</v>
      </c>
      <c r="DY36" s="76">
        <f ca="1">BO36-BP36*100</f>
        <v>0.58196999999999999</v>
      </c>
      <c r="DZ36" s="101"/>
      <c r="EA36" s="100">
        <v>-1.3734999999999999</v>
      </c>
      <c r="EB36" s="107">
        <v>-1.6833</v>
      </c>
      <c r="EC36" s="107">
        <v>-2.4900000000000033E-2</v>
      </c>
      <c r="ED36" s="98">
        <f t="shared" ca="1" si="13"/>
        <v>-0.92837000000000014</v>
      </c>
      <c r="EE36" s="66"/>
      <c r="EF36" s="66"/>
      <c r="EH36" s="2" t="e" vm="36">
        <v>#VALUE!</v>
      </c>
      <c r="EJ36" s="10" cm="1">
        <f t="array" aca="1" ref="EJ36" ca="1">_FV(EH36,"Ações em circulação",TRUE)</f>
        <v>2028195000</v>
      </c>
      <c r="EK36" s="21">
        <f>VLOOKUP(BK36,Fundamentus!A:U,5,FALSE)</f>
        <v>0.44500000000000001</v>
      </c>
      <c r="EL36" s="2">
        <f ca="1">(BJ36*EJ36)/EK36</f>
        <v>66360717303.370789</v>
      </c>
      <c r="EM36" s="20">
        <v>3216284284.5505619</v>
      </c>
      <c r="EN36" s="20">
        <f t="shared" ca="1" si="14"/>
        <v>3218494789.2134833</v>
      </c>
      <c r="EP36" s="19">
        <f t="shared" ca="1" si="15"/>
        <v>6.8728522336769515E-4</v>
      </c>
      <c r="EQ36" s="40" t="str">
        <f>IF(VLOOKUP(BK36,Fundamentus!A:U,3,FALSE)&lt;15,"Bom",IF(VLOOKUP(BK36,Fundamentus!A:U,3,FALSE)&gt;15,"Ruim","n/a"))</f>
        <v>Bom</v>
      </c>
      <c r="ER36" s="36" t="str">
        <f>IF(VLOOKUP(BK36,Fundamentus!A:U,4,FALSE)&lt;1,"Baixo",IF(VLOOKUP(BK36,Fundamentus!A:U,4,FALSE)&lt;1.5,"Moderado",IF(VLOOKUP(BK36,Fundamentus!A:U,4,FALSE)&gt;1.5,"Alto","n/a")))</f>
        <v>Baixo</v>
      </c>
      <c r="ES36" s="20" t="str">
        <f>IF(VLOOKUP(BK36,Fundamentus!A:U,8,FALSE)&lt;0,"Risco elevado",IF(VLOOKUP(BK36,Fundamentus!A:U,8,FALSE)&lt;1,"Saudável",IF(VLOOKUP(BK36,Fundamentus!A:U,8,FALSE)&lt;3,"Estável",IF(VLOOKUP(BK36,Fundamentus!A:U,8,FALSE)&gt;3,"Alerta","n/a"))))</f>
        <v>Estável</v>
      </c>
      <c r="ET36" s="36" t="str">
        <f t="shared" si="16"/>
        <v>Ruim</v>
      </c>
      <c r="EU36" s="20" t="str">
        <f>IF(VLOOKUP(BK36,Fundamentus!A:U,12,FALSE)&lt;2,"Subvalorizada",IF(VLOOKUP(BK36,Fundamentus!A:U,12,FALSE)&lt;6,"Muita barata",IF(VLOOKUP(BK36,Fundamentus!A:U,12,FALSE)&lt;6,"Barata",IF(VLOOKUP(BK36,Fundamentus!A:U,12,FALSE)&lt;8,"Atrativa",IF(VLOOKUP(BK36,Fundamentus!A:U,12,FALSE)&gt;8,"Supervalorizada","n/a")))))</f>
        <v>Muita barata</v>
      </c>
      <c r="EW36" s="20" t="str">
        <f>IF(VLOOKUP(BK36,Fundamentus!A:U,17,FALSE)&lt;0.1,"Fraco retorno",IF(VLOOKUP(BK36,Fundamentus!A:U,17,FALSE)&gt;0.1,"Bom retorno","n/a"))</f>
        <v>Fraco retorno</v>
      </c>
      <c r="EX36" s="20" t="str">
        <f>IF(VLOOKUP(BK36,Fundamentus!A:U,16,FALSE)&lt;0.1,"Ineficiente",IF(VLOOKUP(BK36,Fundamentus!A:U,16,FALSE)&gt;0.1,"Eficiente","n/a"))</f>
        <v>Ineficiente</v>
      </c>
      <c r="EY36" s="41" t="str">
        <f>IF(VLOOKUP(BK36,Fundamentus!A:U,16,FALSE)&lt;0.1,"Oper. Ineficiente",IF(VLOOKUP(BK36,Fundamentus!A:U,16,FALSE)&gt;0.1,"Oper.Eficiente","n/a"))</f>
        <v>Oper. Ineficiente</v>
      </c>
      <c r="EZ36" s="42">
        <f>VLOOKUP(BK36,Fundamentus!A:U,14,FALSE)</f>
        <v>4.8500000000000001E-2</v>
      </c>
      <c r="FA36" s="20" t="str">
        <f>IF(VLOOKUP(BK36,Fundamentus!A:U,21,FALSE)&lt;0,"Negativo",IF(VLOOKUP(BK36,Fundamentus!A:U,21,FALSE)&lt;0.05,"Fraco",IF(VLOOKUP(BK36,Fundamentus!A:U,21,FALSE)&lt;0.1,"Bom",IF(VLOOKUP(BK36,Fundamentus!A:U,21,FALSE)&gt;0.1,"Muito bom","n/a"))))</f>
        <v>Fraco</v>
      </c>
      <c r="FC36" s="37" t="str">
        <f>IF(VLOOKUP(BK36,Fundamentus!A:U,15,FALSE)&gt;1,"Bom",IF(VLOOKUP(BK36,Fundamentus!A:U,15,FALSE)&lt;1,"Ruim","n/a"))</f>
        <v>Bom</v>
      </c>
      <c r="FD36" s="20" t="str">
        <f>IF(VLOOKUP(BK36,Fundamentus!A:U,20,FALSE)&lt;0.5,"Baixa",IF(VLOOKUP(BK36,Fundamentus!A:U,20,FALSE)&lt;1,"Moderada",IF(VLOOKUP(BK36,Fundamentus!A:U,20,FALSE)&lt;2,"Alerta",IF(VLOOKUP(BK36,Fundamentus!A:U,20,FALSE)&gt;2,"Alta","n/a"))))</f>
        <v>Baixa</v>
      </c>
    </row>
    <row r="37" spans="1:160" s="5" customFormat="1" ht="11.25" hidden="1"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8">
        <v>8.4700000000000006</v>
      </c>
      <c r="BC37" s="62">
        <v>8.48</v>
      </c>
      <c r="BD37" s="62">
        <v>8.4499999999999993</v>
      </c>
      <c r="BE37" s="62">
        <v>8.48</v>
      </c>
      <c r="BF37" s="62">
        <v>8.48</v>
      </c>
      <c r="BG37" s="81">
        <v>8.48</v>
      </c>
      <c r="BH37" s="62">
        <v>8.48</v>
      </c>
      <c r="BI37" s="62">
        <v>8.48</v>
      </c>
      <c r="BJ37" s="62" cm="1">
        <f t="array" aca="1" ref="BJ37" ca="1">_FV(EH37,"Preço")</f>
        <v>8.48</v>
      </c>
      <c r="BK37" s="83" t="s">
        <v>34</v>
      </c>
      <c r="BL37" s="44" cm="1">
        <f t="array" aca="1" ref="BL37" ca="1">_FV(EH37,"Média de volume",TRUE)</f>
        <v>3276280</v>
      </c>
      <c r="BM37" s="44">
        <v>14418400</v>
      </c>
      <c r="BN37" s="44" cm="1">
        <f t="array" aca="1" ref="BN37" ca="1">_FV(EH37,"Volume")</f>
        <v>14418400</v>
      </c>
      <c r="BO37" s="32" cm="1">
        <f t="array" aca="1" ref="BO37" ca="1">_FV(EH37,"Beta")</f>
        <v>1.3414999999999999</v>
      </c>
      <c r="BP37" s="86" cm="1">
        <f t="array" aca="1" ref="BP37" ca="1">_FV(EH37,"Variação (%)",TRUE)</f>
        <v>0</v>
      </c>
      <c r="BQ37" s="48"/>
      <c r="BR37" s="48"/>
      <c r="BT37" s="20" cm="1">
        <f t="array" aca="1" ref="BT37" ca="1">_FV(EH37,"Baixo")</f>
        <v>8.44</v>
      </c>
      <c r="BU37" s="20" cm="1">
        <f t="array" aca="1" ref="BU37" ca="1">_FV(EH37,"Alto")</f>
        <v>8.5399999999999991</v>
      </c>
      <c r="BV37" s="32"/>
      <c r="BW37" s="73">
        <f ca="1">SQRT(22.5*(BJ37/VLOOKUP(BK37,Fundamentus!A:U,3,FALSE))*(BJ37/VLOOKUP(BK37,Fundamentus!A:U,4,FALSE)))</f>
        <v>14.368524999267921</v>
      </c>
      <c r="BY37" s="72">
        <f t="shared" ca="1" si="0"/>
        <v>0</v>
      </c>
      <c r="BZ37" s="8"/>
      <c r="CA37" s="71">
        <f t="shared" si="36"/>
        <v>5.31</v>
      </c>
      <c r="CB37" s="71">
        <f t="shared" si="1"/>
        <v>11.53</v>
      </c>
      <c r="CC37" s="71">
        <f t="shared" si="37"/>
        <v>8.1463114754098367</v>
      </c>
      <c r="CD37" s="17"/>
      <c r="CE37" s="43">
        <f t="shared" si="19"/>
        <v>8.48</v>
      </c>
      <c r="CF37" s="18">
        <f>FORECAST("04/07/2025", BF37:BI37, $BF$5:$BI$5)</f>
        <v>8.48</v>
      </c>
      <c r="CG37" s="43">
        <f t="shared" si="20"/>
        <v>8.48</v>
      </c>
      <c r="CI37" s="17"/>
      <c r="CJ37" s="20">
        <f>CA37-2*(CB37-CM37)</f>
        <v>-0.87000000000000011</v>
      </c>
      <c r="CK37" s="20">
        <f>CM37-(CB37-CA37)</f>
        <v>2.2199999999999998</v>
      </c>
      <c r="CL37" s="20">
        <f>2*CM37-CB37</f>
        <v>5.35</v>
      </c>
      <c r="CM37" s="48">
        <f>(CB37+CA37+BI37)/3</f>
        <v>8.44</v>
      </c>
      <c r="CN37" s="20">
        <f>2*CM37-CA37</f>
        <v>11.57</v>
      </c>
      <c r="CO37" s="20">
        <f>CM37+(CB37-CA37)</f>
        <v>14.66</v>
      </c>
      <c r="CP37" s="20">
        <f>CB37+2*(CM37-CA37)</f>
        <v>17.79</v>
      </c>
      <c r="CQ37" s="2" cm="1">
        <f t="array" aca="1" ref="CQ37" ca="1">MAX(_xlfn._xlws.FILTER(CJ37:CP37,CJ37:CP37&lt;BJ37))</f>
        <v>8.44</v>
      </c>
      <c r="CR37" s="2" cm="1">
        <f t="array" aca="1" ref="CR37" ca="1">MIN(_xlfn._xlws.FILTER($CJ37:$CP37,$CJ37:$CP37&gt;BJ37))</f>
        <v>11.57</v>
      </c>
      <c r="CS37" s="19">
        <f t="shared" ca="1" si="55"/>
        <v>0.37085308056872046</v>
      </c>
      <c r="CT37" s="23">
        <f t="shared" ca="1" si="56"/>
        <v>-0.18542654028436023</v>
      </c>
      <c r="CU37" s="23">
        <f t="shared" ca="1" si="57"/>
        <v>-0.12361769352290682</v>
      </c>
      <c r="CV37" s="23">
        <f t="shared" ca="1" si="58"/>
        <v>-7.4170616113744092E-2</v>
      </c>
      <c r="CW37" s="23">
        <f t="shared" ca="1" si="59"/>
        <v>-4.1205897840968939E-2</v>
      </c>
      <c r="CX37" s="23">
        <f t="shared" ca="1" si="60"/>
        <v>-2.1814887092277673E-2</v>
      </c>
      <c r="CY37" s="23">
        <f t="shared" ca="1" si="61"/>
        <v>-1.1237972138446075E-2</v>
      </c>
      <c r="CZ37" s="23">
        <f t="shared" ca="1" si="62"/>
        <v>-5.7054320087495452E-3</v>
      </c>
      <c r="DA37" s="24">
        <f t="shared" ca="1" si="63"/>
        <v>5.7054320087495452E-3</v>
      </c>
      <c r="DB37" s="24">
        <f t="shared" ca="1" si="64"/>
        <v>1.1237972138446075E-2</v>
      </c>
      <c r="DC37" s="24">
        <f t="shared" ca="1" si="65"/>
        <v>2.1814887092277673E-2</v>
      </c>
      <c r="DD37" s="24">
        <f t="shared" ca="1" si="66"/>
        <v>4.1205897840968939E-2</v>
      </c>
      <c r="DE37" s="24">
        <f t="shared" ca="1" si="67"/>
        <v>7.4170616113744092E-2</v>
      </c>
      <c r="DF37" s="24">
        <f t="shared" ca="1" si="68"/>
        <v>0.12361769352290682</v>
      </c>
      <c r="DG37" s="24">
        <f t="shared" ca="1" si="69"/>
        <v>0.18542654028436023</v>
      </c>
      <c r="DI37" s="19" cm="1">
        <f t="array" aca="1" ref="DI37" ca="1">MAX(_xlfn._xlws.FILTER(CT37:DG37,CT37:DG37&lt;BP37))</f>
        <v>-5.7054320087495452E-3</v>
      </c>
      <c r="DJ37" s="19" cm="1">
        <f t="array" aca="1" ref="DJ37" ca="1">MIN(_xlfn._xlws.FILTER(CT37:DG37,CT37:DG37&gt;BP37))</f>
        <v>5.7054320087495452E-3</v>
      </c>
      <c r="DK37" s="2" cm="1">
        <f t="array" aca="1" ref="DK37" ca="1">_FV(EH37,"Fechamento anterior",TRUE)</f>
        <v>8.4499999999999993</v>
      </c>
      <c r="DL37" s="36">
        <f ca="1">(BJ37-DM37)/(DN37-DM37)</f>
        <v>0.81113295650038564</v>
      </c>
      <c r="DM37" s="18">
        <f t="shared" ca="1" si="70"/>
        <v>8.4017890995260665</v>
      </c>
      <c r="DN37" s="18">
        <f t="shared" ca="1" si="71"/>
        <v>8.4982109004739321</v>
      </c>
      <c r="DO37" s="9"/>
      <c r="DP37" s="9"/>
      <c r="DQ37" s="94">
        <v>9.0597505388502215E-3</v>
      </c>
      <c r="DR37" s="94">
        <v>9.0597505388502215E-3</v>
      </c>
      <c r="DS37" s="94">
        <v>1.141086401749909E-2</v>
      </c>
      <c r="DT37" s="94">
        <f t="shared" ca="1" si="12"/>
        <v>1.141086401749909E-2</v>
      </c>
      <c r="DU37" s="87" t="e">
        <f ca="1">(BJ37-CF37)/(CF37-CE37)</f>
        <v>#DIV/0!</v>
      </c>
      <c r="DV37" s="46"/>
      <c r="DW37" s="43">
        <f>_xlfn.STDEV.P(BF37:BI37)</f>
        <v>0</v>
      </c>
      <c r="DX37" s="76">
        <f ca="1">BO37-$DT$2</f>
        <v>0.34439999999999982</v>
      </c>
      <c r="DY37" s="76">
        <f ca="1">BO37-BP37*100</f>
        <v>1.3414999999999999</v>
      </c>
      <c r="DZ37" s="101"/>
      <c r="EA37" s="100">
        <v>0.29869999999999997</v>
      </c>
      <c r="EB37" s="107">
        <v>1.2419000000000002</v>
      </c>
      <c r="EC37" s="107">
        <v>0.18090000000000006</v>
      </c>
      <c r="ED37" s="98">
        <f t="shared" ca="1" si="13"/>
        <v>-0.9971000000000001</v>
      </c>
      <c r="EE37" s="66"/>
      <c r="EF37" s="66"/>
      <c r="EH37" s="5" t="e" vm="37">
        <v>#VALUE!</v>
      </c>
      <c r="EJ37" s="10" cm="1">
        <f t="array" aca="1" ref="EJ37" ca="1">_FV(EH37,"Ações em circulação",TRUE)</f>
        <v>2109057000</v>
      </c>
      <c r="EK37" s="21">
        <f>VLOOKUP(BK37,Fundamentus!A:U,5,FALSE)</f>
        <v>0.153</v>
      </c>
      <c r="EL37" s="2">
        <f ca="1">(BJ37*EJ37)/EK37</f>
        <v>116894139607.84314</v>
      </c>
      <c r="EM37" s="20">
        <v>2127473340.8627453</v>
      </c>
      <c r="EN37" s="20">
        <f t="shared" ca="1" si="14"/>
        <v>2127473340.8627453</v>
      </c>
      <c r="EO37" s="2"/>
      <c r="EP37" s="19">
        <f t="shared" ca="1" si="15"/>
        <v>0</v>
      </c>
      <c r="EQ37" s="40" t="str">
        <f>IF(VLOOKUP(BK37,Fundamentus!A:U,3,FALSE)&lt;15,"Bom",IF(VLOOKUP(BK37,Fundamentus!A:U,3,FALSE)&gt;15,"Ruim","n/a"))</f>
        <v>Bom</v>
      </c>
      <c r="ER37" s="36" t="str">
        <f>IF(VLOOKUP(BK37,Fundamentus!A:U,4,FALSE)&lt;1,"Baixo",IF(VLOOKUP(BK37,Fundamentus!A:U,4,FALSE)&lt;1.5,"Moderado",IF(VLOOKUP(BK37,Fundamentus!A:U,4,FALSE)&gt;1.5,"Alto","n/a")))</f>
        <v>Baixo</v>
      </c>
      <c r="ES37" s="20" t="str">
        <f>IF(VLOOKUP(BK37,Fundamentus!A:U,8,FALSE)&lt;0,"Risco elevado",IF(VLOOKUP(BK37,Fundamentus!A:U,8,FALSE)&lt;1,"Saudável",IF(VLOOKUP(BK37,Fundamentus!A:U,8,FALSE)&lt;3,"Estável",IF(VLOOKUP(BK37,Fundamentus!A:U,8,FALSE)&gt;3,"Alerta","n/a"))))</f>
        <v>Alerta</v>
      </c>
      <c r="ET37" s="36" t="str">
        <f t="shared" si="16"/>
        <v>Ruim</v>
      </c>
      <c r="EU37" s="20" t="str">
        <f>IF(VLOOKUP(BK37,Fundamentus!A:U,12,FALSE)&lt;2,"Subvalorizada",IF(VLOOKUP(BK37,Fundamentus!A:U,12,FALSE)&lt;6,"Muita barata",IF(VLOOKUP(BK37,Fundamentus!A:U,12,FALSE)&lt;6,"Barata",IF(VLOOKUP(BK37,Fundamentus!A:U,12,FALSE)&lt;8,"Atrativa",IF(VLOOKUP(BK37,Fundamentus!A:U,12,FALSE)&gt;8,"Supervalorizada","n/a")))))</f>
        <v>Muita barata</v>
      </c>
      <c r="EV37" s="2"/>
      <c r="EW37" s="20" t="str">
        <f>IF(VLOOKUP(BK37,Fundamentus!A:U,17,FALSE)&lt;0.1,"Fraco retorno",IF(VLOOKUP(BK37,Fundamentus!A:U,17,FALSE)&gt;0.1,"Bom retorno","n/a"))</f>
        <v>Fraco retorno</v>
      </c>
      <c r="EX37" s="20" t="str">
        <f>IF(VLOOKUP(BK37,Fundamentus!A:U,16,FALSE)&lt;0.1,"Ineficiente",IF(VLOOKUP(BK37,Fundamentus!A:U,16,FALSE)&gt;0.1,"Eficiente","n/a"))</f>
        <v>Ineficiente</v>
      </c>
      <c r="EY37" s="41" t="str">
        <f>IF(VLOOKUP(BK37,Fundamentus!A:U,16,FALSE)&lt;0.1,"Oper. Ineficiente",IF(VLOOKUP(BK37,Fundamentus!A:U,16,FALSE)&gt;0.1,"Oper.Eficiente","n/a"))</f>
        <v>Oper. Ineficiente</v>
      </c>
      <c r="EZ37" s="42">
        <f>VLOOKUP(BK37,Fundamentus!A:U,14,FALSE)</f>
        <v>1.8200000000000001E-2</v>
      </c>
      <c r="FA37" s="20" t="str">
        <f>IF(VLOOKUP(BK37,Fundamentus!A:U,21,FALSE)&lt;0,"Negativo",IF(VLOOKUP(BK37,Fundamentus!A:U,21,FALSE)&lt;0.05,"Fraco",IF(VLOOKUP(BK37,Fundamentus!A:U,21,FALSE)&lt;0.1,"Bom",IF(VLOOKUP(BK37,Fundamentus!A:U,21,FALSE)&gt;0.1,"Muito bom","n/a"))))</f>
        <v>Muito bom</v>
      </c>
      <c r="FC37" s="37" t="str">
        <f>IF(VLOOKUP(BK37,Fundamentus!A:U,15,FALSE)&gt;1,"Bom",IF(VLOOKUP(BK37,Fundamentus!A:U,15,FALSE)&lt;1,"Ruim","n/a"))</f>
        <v>n/a</v>
      </c>
      <c r="FD37" s="20" t="str">
        <f>IF(VLOOKUP(BK37,Fundamentus!A:U,20,FALSE)&lt;0.5,"Baixa",IF(VLOOKUP(BK37,Fundamentus!A:U,20,FALSE)&lt;1,"Moderada",IF(VLOOKUP(BK37,Fundamentus!A:U,20,FALSE)&lt;2,"Alerta",IF(VLOOKUP(BK37,Fundamentus!A:U,20,FALSE)&gt;2,"Alta","n/a"))))</f>
        <v>Alerta</v>
      </c>
    </row>
    <row r="38" spans="1:160" s="2" customFormat="1" ht="11.25" hidden="1"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8">
        <v>6.3</v>
      </c>
      <c r="BC38" s="62">
        <v>6.08</v>
      </c>
      <c r="BD38" s="62">
        <v>6.35</v>
      </c>
      <c r="BE38" s="62">
        <v>6.55</v>
      </c>
      <c r="BF38" s="62">
        <v>6.69</v>
      </c>
      <c r="BG38" s="81">
        <v>7.19</v>
      </c>
      <c r="BH38" s="62" t="s">
        <v>525</v>
      </c>
      <c r="BI38" s="62">
        <v>7.7</v>
      </c>
      <c r="BJ38" s="62" cm="1">
        <f t="array" aca="1" ref="BJ38" ca="1">_FV(EH38,"Preço")</f>
        <v>7.83</v>
      </c>
      <c r="BK38" s="83" t="s">
        <v>35</v>
      </c>
      <c r="BL38" s="44" cm="1">
        <f t="array" aca="1" ref="BL38" ca="1">_FV(EH38,"Média de volume",TRUE)</f>
        <v>1569060</v>
      </c>
      <c r="BM38" s="44">
        <v>299300</v>
      </c>
      <c r="BN38" s="44" cm="1">
        <f t="array" aca="1" ref="BN38" ca="1">_FV(EH38,"Volume")</f>
        <v>218400</v>
      </c>
      <c r="BO38" s="32" cm="1">
        <f t="array" aca="1" ref="BO38" ca="1">_FV(EH38,"Beta")</f>
        <v>0.57330000000000003</v>
      </c>
      <c r="BP38" s="86" cm="1">
        <f t="array" aca="1" ref="BP38" ca="1">_FV(EH38,"Variação (%)",TRUE)</f>
        <v>1.6882999999999999E-2</v>
      </c>
      <c r="BQ38" s="48"/>
      <c r="BR38" s="48"/>
      <c r="BT38" s="20" cm="1">
        <f t="array" aca="1" ref="BT38" ca="1">_FV(EH38,"Baixo")</f>
        <v>7.63</v>
      </c>
      <c r="BU38" s="20" cm="1">
        <f t="array" aca="1" ref="BU38" ca="1">_FV(EH38,"Alto")</f>
        <v>7.92</v>
      </c>
      <c r="BV38" s="32"/>
      <c r="BW38" s="73">
        <f ca="1">SQRT(22.5*(BJ38/VLOOKUP(BK38,Fundamentus!A:U,3,FALSE))*(BJ38/VLOOKUP(BK38,Fundamentus!A:U,4,FALSE)))</f>
        <v>18.29359362415131</v>
      </c>
      <c r="BY38" s="72">
        <f t="shared" ca="1" si="0"/>
        <v>1.6883116883116868E-2</v>
      </c>
      <c r="BZ38" s="8"/>
      <c r="CA38" s="71">
        <f t="shared" si="36"/>
        <v>4.97</v>
      </c>
      <c r="CB38" s="71">
        <f t="shared" si="1"/>
        <v>7.7</v>
      </c>
      <c r="CC38" s="71">
        <f t="shared" si="37"/>
        <v>5.5680833333333339</v>
      </c>
      <c r="CD38" s="17"/>
      <c r="CE38" s="43">
        <f t="shared" si="19"/>
        <v>7.2353249798316135</v>
      </c>
      <c r="CF38" s="18">
        <f>FORECAST("04/07/2025", BF38:BI38, $BF$5:$BI$5)</f>
        <v>8.0599999999994907</v>
      </c>
      <c r="CG38" s="43">
        <f t="shared" si="20"/>
        <v>8.8846750201673679</v>
      </c>
      <c r="CI38" s="17"/>
      <c r="CJ38" s="20">
        <f>CA38-2*(CB38-CM38)</f>
        <v>3.1499999999999995</v>
      </c>
      <c r="CK38" s="20">
        <f>CM38-(CB38-CA38)</f>
        <v>4.0599999999999996</v>
      </c>
      <c r="CL38" s="20">
        <f>2*CM38-CB38</f>
        <v>5.88</v>
      </c>
      <c r="CM38" s="48">
        <f>(CB38+CA38+BI38)/3</f>
        <v>6.79</v>
      </c>
      <c r="CN38" s="20">
        <f>2*CM38-CA38</f>
        <v>8.61</v>
      </c>
      <c r="CO38" s="20">
        <f>CM38+(CB38-CA38)</f>
        <v>9.52</v>
      </c>
      <c r="CP38" s="20">
        <f>CB38+2*(CM38-CA38)</f>
        <v>11.34</v>
      </c>
      <c r="CQ38" s="2" cm="1">
        <f t="array" aca="1" ref="CQ38" ca="1">MAX(_xlfn._xlws.FILTER(CJ38:CP38,CJ38:CP38&lt;BJ38))</f>
        <v>6.79</v>
      </c>
      <c r="CR38" s="2" cm="1">
        <f t="array" aca="1" ref="CR38" ca="1">MIN(_xlfn._xlws.FILTER($CJ38:$CP38,$CJ38:$CP38&gt;BJ38))</f>
        <v>8.61</v>
      </c>
      <c r="CS38" s="19">
        <f t="shared" ca="1" si="55"/>
        <v>0.268041237113402</v>
      </c>
      <c r="CT38" s="23">
        <f t="shared" ca="1" si="56"/>
        <v>-0.134020618556701</v>
      </c>
      <c r="CU38" s="23">
        <f t="shared" ca="1" si="57"/>
        <v>-8.9347079037800661E-2</v>
      </c>
      <c r="CV38" s="23">
        <f t="shared" ca="1" si="58"/>
        <v>-5.3608247422680402E-2</v>
      </c>
      <c r="CW38" s="23">
        <f t="shared" ca="1" si="59"/>
        <v>-2.9782359679266887E-2</v>
      </c>
      <c r="CX38" s="23">
        <f t="shared" ca="1" si="60"/>
        <v>-1.5767131594906E-2</v>
      </c>
      <c r="CY38" s="23">
        <f t="shared" ca="1" si="61"/>
        <v>-8.1224617307091521E-3</v>
      </c>
      <c r="CZ38" s="23">
        <f t="shared" ca="1" si="62"/>
        <v>-4.1237113402061848E-3</v>
      </c>
      <c r="DA38" s="24">
        <f t="shared" ca="1" si="63"/>
        <v>4.1237113402061848E-3</v>
      </c>
      <c r="DB38" s="24">
        <f t="shared" ca="1" si="64"/>
        <v>8.1224617307091521E-3</v>
      </c>
      <c r="DC38" s="24">
        <f t="shared" ca="1" si="65"/>
        <v>1.5767131594906E-2</v>
      </c>
      <c r="DD38" s="24">
        <f t="shared" ca="1" si="66"/>
        <v>2.9782359679266887E-2</v>
      </c>
      <c r="DE38" s="24">
        <f t="shared" ca="1" si="67"/>
        <v>5.3608247422680402E-2</v>
      </c>
      <c r="DF38" s="24">
        <f t="shared" ca="1" si="68"/>
        <v>8.9347079037800661E-2</v>
      </c>
      <c r="DG38" s="24">
        <f t="shared" ca="1" si="69"/>
        <v>0.134020618556701</v>
      </c>
      <c r="DI38" s="19" cm="1">
        <f t="array" aca="1" ref="DI38" ca="1">MAX(_xlfn._xlws.FILTER(CT38:DG38,CT38:DG38&lt;BP38))</f>
        <v>1.5767131594906E-2</v>
      </c>
      <c r="DJ38" s="19" cm="1">
        <f t="array" aca="1" ref="DJ38" ca="1">MIN(_xlfn._xlws.FILTER(CT38:DG38,CT38:DG38&gt;BP38))</f>
        <v>2.9782359679266887E-2</v>
      </c>
      <c r="DK38" s="2" cm="1">
        <f t="array" aca="1" ref="DK38" ca="1">_FV(EH38,"Fechamento anterior",TRUE)</f>
        <v>7.7</v>
      </c>
      <c r="DL38" s="36">
        <f ca="1">(BJ38-DM38)/(DN38-DM38)</f>
        <v>7.9626623376626016E-2</v>
      </c>
      <c r="DM38" s="18">
        <f t="shared" ca="1" si="70"/>
        <v>7.821406913280776</v>
      </c>
      <c r="DN38" s="18">
        <f t="shared" ca="1" si="71"/>
        <v>7.9293241695303553</v>
      </c>
      <c r="DO38" s="9"/>
      <c r="DP38" s="9"/>
      <c r="DQ38" s="94">
        <v>8.7575259989053078E-3</v>
      </c>
      <c r="DR38" s="94">
        <v>5.5401202571013861E-3</v>
      </c>
      <c r="DS38" s="94">
        <v>2.0396210163652027E-2</v>
      </c>
      <c r="DT38" s="94">
        <f t="shared" ca="1" si="12"/>
        <v>1.4015228084360887E-2</v>
      </c>
      <c r="DU38" s="87">
        <f ca="1">(BJ38-CF38)/(CF38-CE38)</f>
        <v>-0.27889774077632429</v>
      </c>
      <c r="DV38" s="46"/>
      <c r="DW38" s="43">
        <f>_xlfn.STDEV.P(BF38:BI38)</f>
        <v>0.4123375100839386</v>
      </c>
      <c r="DX38" s="76">
        <f ca="1">BO38-$DT$2</f>
        <v>-0.42380000000000007</v>
      </c>
      <c r="DY38" s="76">
        <f ca="1">BO38-BP38*100</f>
        <v>-1.1149999999999998</v>
      </c>
      <c r="DZ38" s="101"/>
      <c r="EA38" s="100">
        <v>0.1623</v>
      </c>
      <c r="EB38" s="107">
        <v>2.8812000000000002</v>
      </c>
      <c r="EC38" s="107">
        <v>-0.97440000000000015</v>
      </c>
      <c r="ED38" s="98">
        <f t="shared" ca="1" si="13"/>
        <v>0.6911999999999997</v>
      </c>
      <c r="EE38" s="66"/>
      <c r="EF38" s="66"/>
      <c r="EH38" s="2" t="e" vm="38">
        <v>#VALUE!</v>
      </c>
      <c r="EJ38" s="10" cm="1">
        <f t="array" aca="1" ref="EJ38" ca="1">_FV(EH38,"Ações em circulação",TRUE)</f>
        <v>1511206000</v>
      </c>
      <c r="EK38" s="21">
        <f>VLOOKUP(BK38,Fundamentus!A:U,5,FALSE)</f>
        <v>1.5620000000000001</v>
      </c>
      <c r="EL38" s="2">
        <f ca="1">(BJ38*EJ38)/EK38</f>
        <v>7575379628.6811781</v>
      </c>
      <c r="EM38" s="20">
        <v>2542550883.5211267</v>
      </c>
      <c r="EN38" s="20">
        <f t="shared" ca="1" si="14"/>
        <v>2585477067.2688861</v>
      </c>
      <c r="EP38" s="19">
        <f t="shared" ca="1" si="15"/>
        <v>1.6883116883116944E-2</v>
      </c>
      <c r="EQ38" s="40" t="str">
        <f>IF(VLOOKUP(BK38,Fundamentus!A:U,3,FALSE)&lt;15,"Bom",IF(VLOOKUP(BK38,Fundamentus!A:U,3,FALSE)&gt;15,"Ruim","n/a"))</f>
        <v>Bom</v>
      </c>
      <c r="ER38" s="36" t="str">
        <f>IF(VLOOKUP(BK38,Fundamentus!A:U,4,FALSE)&lt;1,"Baixo",IF(VLOOKUP(BK38,Fundamentus!A:U,4,FALSE)&lt;1.5,"Moderado",IF(VLOOKUP(BK38,Fundamentus!A:U,4,FALSE)&gt;1.5,"Alto","n/a")))</f>
        <v>Baixo</v>
      </c>
      <c r="ES38" s="20" t="str">
        <f>IF(VLOOKUP(BK38,Fundamentus!A:U,8,FALSE)&lt;0,"Risco elevado",IF(VLOOKUP(BK38,Fundamentus!A:U,8,FALSE)&lt;1,"Saudável",IF(VLOOKUP(BK38,Fundamentus!A:U,8,FALSE)&lt;3,"Estável",IF(VLOOKUP(BK38,Fundamentus!A:U,8,FALSE)&gt;3,"Alerta","n/a"))))</f>
        <v>Alerta</v>
      </c>
      <c r="ET38" s="36" t="str">
        <f t="shared" si="16"/>
        <v>Bom</v>
      </c>
      <c r="EU38" s="20" t="str">
        <f>IF(VLOOKUP(BK38,Fundamentus!A:U,12,FALSE)&lt;2,"Subvalorizada",IF(VLOOKUP(BK38,Fundamentus!A:U,12,FALSE)&lt;6,"Muita barata",IF(VLOOKUP(BK38,Fundamentus!A:U,12,FALSE)&lt;6,"Barata",IF(VLOOKUP(BK38,Fundamentus!A:U,12,FALSE)&lt;8,"Atrativa",IF(VLOOKUP(BK38,Fundamentus!A:U,12,FALSE)&gt;8,"Supervalorizada","n/a")))))</f>
        <v>Atrativa</v>
      </c>
      <c r="EW38" s="20" t="str">
        <f>IF(VLOOKUP(BK38,Fundamentus!A:U,17,FALSE)&lt;0.1,"Fraco retorno",IF(VLOOKUP(BK38,Fundamentus!A:U,17,FALSE)&gt;0.1,"Bom retorno","n/a"))</f>
        <v>Bom retorno</v>
      </c>
      <c r="EX38" s="20" t="str">
        <f>IF(VLOOKUP(BK38,Fundamentus!A:U,16,FALSE)&lt;0.1,"Ineficiente",IF(VLOOKUP(BK38,Fundamentus!A:U,16,FALSE)&gt;0.1,"Eficiente","n/a"))</f>
        <v>Ineficiente</v>
      </c>
      <c r="EY38" s="41" t="str">
        <f>IF(VLOOKUP(BK38,Fundamentus!A:U,16,FALSE)&lt;0.1,"Oper. Ineficiente",IF(VLOOKUP(BK38,Fundamentus!A:U,16,FALSE)&gt;0.1,"Oper.Eficiente","n/a"))</f>
        <v>Oper. Ineficiente</v>
      </c>
      <c r="EZ38" s="42">
        <f>VLOOKUP(BK38,Fundamentus!A:U,14,FALSE)</f>
        <v>0.34129999999999999</v>
      </c>
      <c r="FA38" s="20" t="str">
        <f>IF(VLOOKUP(BK38,Fundamentus!A:U,21,FALSE)&lt;0,"Negativo",IF(VLOOKUP(BK38,Fundamentus!A:U,21,FALSE)&lt;0.05,"Fraco",IF(VLOOKUP(BK38,Fundamentus!A:U,21,FALSE)&lt;0.1,"Bom",IF(VLOOKUP(BK38,Fundamentus!A:U,21,FALSE)&gt;0.1,"Muito bom","n/a"))))</f>
        <v>Bom</v>
      </c>
      <c r="FC38" s="37" t="str">
        <f>IF(VLOOKUP(BK38,Fundamentus!A:U,15,FALSE)&gt;1,"Bom",IF(VLOOKUP(BK38,Fundamentus!A:U,15,FALSE)&lt;1,"Ruim","n/a"))</f>
        <v>Bom</v>
      </c>
      <c r="FD38" s="20" t="str">
        <f>IF(VLOOKUP(BK38,Fundamentus!A:U,20,FALSE)&lt;0.5,"Baixa",IF(VLOOKUP(BK38,Fundamentus!A:U,20,FALSE)&lt;1,"Moderada",IF(VLOOKUP(BK38,Fundamentus!A:U,20,FALSE)&lt;2,"Alerta",IF(VLOOKUP(BK38,Fundamentus!A:U,20,FALSE)&gt;2,"Alta","n/a"))))</f>
        <v>Moderada</v>
      </c>
    </row>
    <row r="39" spans="1:160" s="2" customFormat="1" ht="11.25" hidden="1"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8">
        <v>21.49</v>
      </c>
      <c r="BC39" s="62">
        <v>21.68</v>
      </c>
      <c r="BD39" s="62">
        <v>21.41</v>
      </c>
      <c r="BE39" s="62">
        <v>20.95</v>
      </c>
      <c r="BF39" s="62">
        <v>21.44</v>
      </c>
      <c r="BG39" s="81">
        <v>21.06</v>
      </c>
      <c r="BH39" s="62">
        <v>21.36</v>
      </c>
      <c r="BI39" s="62">
        <v>22.2</v>
      </c>
      <c r="BJ39" s="62" cm="1">
        <f t="array" aca="1" ref="BJ39" ca="1">_FV(EH39,"Preço")</f>
        <v>22.3</v>
      </c>
      <c r="BK39" s="83" t="s">
        <v>36</v>
      </c>
      <c r="BL39" s="44" cm="1">
        <f t="array" aca="1" ref="BL39" ca="1">_FV(EH39,"Média de volume",TRUE)</f>
        <v>716350</v>
      </c>
      <c r="BM39" s="44">
        <v>920500</v>
      </c>
      <c r="BN39" s="44" cm="1">
        <f t="array" aca="1" ref="BN39" ca="1">_FV(EH39,"Volume")</f>
        <v>616700</v>
      </c>
      <c r="BO39" s="32" cm="1">
        <f t="array" aca="1" ref="BO39" ca="1">_FV(EH39,"Beta")</f>
        <v>0.87670000000000003</v>
      </c>
      <c r="BP39" s="86" cm="1">
        <f t="array" aca="1" ref="BP39" ca="1">_FV(EH39,"Variação (%)",TRUE)</f>
        <v>4.5050000000000003E-3</v>
      </c>
      <c r="BQ39" s="48"/>
      <c r="BR39" s="48"/>
      <c r="BT39" s="20" cm="1">
        <f t="array" aca="1" ref="BT39" ca="1">_FV(EH39,"Baixo")</f>
        <v>22.11</v>
      </c>
      <c r="BU39" s="20" cm="1">
        <f t="array" aca="1" ref="BU39" ca="1">_FV(EH39,"Alto")</f>
        <v>22.53</v>
      </c>
      <c r="BV39" s="32"/>
      <c r="BW39" s="73">
        <f ca="1">SQRT(22.5*(BJ39/VLOOKUP(BK39,Fundamentus!A:U,3,FALSE))*(BJ39/VLOOKUP(BK39,Fundamentus!A:U,4,FALSE)))</f>
        <v>51.418960501500031</v>
      </c>
      <c r="BY39" s="72">
        <f t="shared" ca="1" si="0"/>
        <v>4.5045045045045687E-3</v>
      </c>
      <c r="BZ39" s="8"/>
      <c r="CA39" s="71">
        <f t="shared" si="36"/>
        <v>18.989999999999998</v>
      </c>
      <c r="CB39" s="71">
        <f t="shared" si="1"/>
        <v>23.55</v>
      </c>
      <c r="CC39" s="71">
        <f t="shared" si="37"/>
        <v>21.260983606557378</v>
      </c>
      <c r="CD39" s="17"/>
      <c r="CE39" s="43">
        <f t="shared" si="19"/>
        <v>21.319821447548282</v>
      </c>
      <c r="CF39" s="18">
        <f>FORECAST("04/07/2025", BF39:BI39, $BF$5:$BI$5)</f>
        <v>22.160000000000082</v>
      </c>
      <c r="CG39" s="43">
        <f t="shared" si="20"/>
        <v>23.000178552451882</v>
      </c>
      <c r="CI39" s="17"/>
      <c r="CJ39" s="20">
        <f>CA39-2*(CB39-CM39)</f>
        <v>15.049999999999994</v>
      </c>
      <c r="CK39" s="20">
        <f>CM39-(CB39-CA39)</f>
        <v>17.019999999999996</v>
      </c>
      <c r="CL39" s="20">
        <f>2*CM39-CB39</f>
        <v>19.609999999999996</v>
      </c>
      <c r="CM39" s="48">
        <f>(CB39+CA39+BI39)/3</f>
        <v>21.58</v>
      </c>
      <c r="CN39" s="20">
        <f>2*CM39-CA39</f>
        <v>24.169999999999998</v>
      </c>
      <c r="CO39" s="20">
        <f>CM39+(CB39-CA39)</f>
        <v>26.14</v>
      </c>
      <c r="CP39" s="20">
        <f>CB39+2*(CM39-CA39)</f>
        <v>28.73</v>
      </c>
      <c r="CQ39" s="2" cm="1">
        <f t="array" aca="1" ref="CQ39" ca="1">MAX(_xlfn._xlws.FILTER(CJ39:CP39,CJ39:CP39&lt;BJ39))</f>
        <v>21.58</v>
      </c>
      <c r="CR39" s="2" cm="1">
        <f t="array" aca="1" ref="CR39" ca="1">MIN(_xlfn._xlws.FILTER($CJ39:$CP39,$CJ39:$CP39&gt;BJ39))</f>
        <v>24.169999999999998</v>
      </c>
      <c r="CS39" s="19">
        <f t="shared" ca="1" si="55"/>
        <v>0.12001853568118626</v>
      </c>
      <c r="CT39" s="23">
        <f t="shared" ca="1" si="56"/>
        <v>-6.0009267840593128E-2</v>
      </c>
      <c r="CU39" s="23">
        <f t="shared" ca="1" si="57"/>
        <v>-4.0006178560395421E-2</v>
      </c>
      <c r="CV39" s="23">
        <f t="shared" ca="1" si="58"/>
        <v>-2.400370713623725E-2</v>
      </c>
      <c r="CW39" s="23">
        <f t="shared" ca="1" si="59"/>
        <v>-1.333539285346514E-2</v>
      </c>
      <c r="CX39" s="23">
        <f t="shared" ca="1" si="60"/>
        <v>-7.0599138635991914E-3</v>
      </c>
      <c r="CY39" s="23">
        <f t="shared" ca="1" si="61"/>
        <v>-3.6369253236723108E-3</v>
      </c>
      <c r="CZ39" s="23">
        <f t="shared" ca="1" si="62"/>
        <v>-1.8464390104797885E-3</v>
      </c>
      <c r="DA39" s="24">
        <f t="shared" ca="1" si="63"/>
        <v>1.8464390104797885E-3</v>
      </c>
      <c r="DB39" s="24">
        <f t="shared" ca="1" si="64"/>
        <v>3.6369253236723108E-3</v>
      </c>
      <c r="DC39" s="24">
        <f t="shared" ca="1" si="65"/>
        <v>7.0599138635991914E-3</v>
      </c>
      <c r="DD39" s="24">
        <f t="shared" ca="1" si="66"/>
        <v>1.333539285346514E-2</v>
      </c>
      <c r="DE39" s="24">
        <f t="shared" ca="1" si="67"/>
        <v>2.400370713623725E-2</v>
      </c>
      <c r="DF39" s="24">
        <f t="shared" ca="1" si="68"/>
        <v>4.0006178560395421E-2</v>
      </c>
      <c r="DG39" s="24">
        <f t="shared" ca="1" si="69"/>
        <v>6.0009267840593128E-2</v>
      </c>
      <c r="DI39" s="19" cm="1">
        <f t="array" aca="1" ref="DI39" ca="1">MAX(_xlfn._xlws.FILTER(CT39:DG39,CT39:DG39&lt;BP39))</f>
        <v>3.6369253236723108E-3</v>
      </c>
      <c r="DJ39" s="19" cm="1">
        <f t="array" aca="1" ref="DJ39" ca="1">MIN(_xlfn._xlws.FILTER(CT39:DG39,CT39:DG39&gt;BP39))</f>
        <v>7.0599138635991914E-3</v>
      </c>
      <c r="DK39" s="2" cm="1">
        <f t="array" aca="1" ref="DK39" ca="1">_FV(EH39,"Fechamento anterior",TRUE)</f>
        <v>22.2</v>
      </c>
      <c r="DL39" s="36">
        <f ca="1">(BJ39-DM39)/(DN39-DM39)</f>
        <v>0.25345664197018047</v>
      </c>
      <c r="DM39" s="18">
        <f t="shared" ca="1" si="70"/>
        <v>22.280739742185524</v>
      </c>
      <c r="DN39" s="18">
        <f t="shared" ca="1" si="71"/>
        <v>22.356730087771901</v>
      </c>
      <c r="DO39" s="9"/>
      <c r="DP39" s="9"/>
      <c r="DQ39" s="94">
        <v>1.2082706347879373E-2</v>
      </c>
      <c r="DR39" s="94">
        <v>2.5845361171934486E-3</v>
      </c>
      <c r="DS39" s="94">
        <v>6.5186109810856348E-3</v>
      </c>
      <c r="DT39" s="94">
        <f t="shared" ca="1" si="12"/>
        <v>3.4229885399268806E-3</v>
      </c>
      <c r="DU39" s="87">
        <f ca="1">(BJ39-CF39)/(CF39-CE39)</f>
        <v>0.16663124712166527</v>
      </c>
      <c r="DV39" s="46"/>
      <c r="DW39" s="43">
        <f>_xlfn.STDEV.P(BF39:BI39)</f>
        <v>0.42008927622589948</v>
      </c>
      <c r="DX39" s="76">
        <f ca="1">BO39-$DT$2</f>
        <v>-0.12040000000000006</v>
      </c>
      <c r="DY39" s="76">
        <f ca="1">BO39-BP39*100</f>
        <v>0.42620000000000002</v>
      </c>
      <c r="DZ39" s="101"/>
      <c r="EA39" s="100">
        <v>-0.49570000000000003</v>
      </c>
      <c r="EB39" s="107">
        <v>1.8542000000000001</v>
      </c>
      <c r="EC39" s="107">
        <v>1.1358999999999999</v>
      </c>
      <c r="ED39" s="98">
        <f t="shared" ca="1" si="13"/>
        <v>-0.54660000000000009</v>
      </c>
      <c r="EE39" s="66"/>
      <c r="EF39" s="66"/>
      <c r="EH39" s="2" t="e" vm="39">
        <v>#VALUE!</v>
      </c>
      <c r="EJ39" s="10" cm="1">
        <f t="array" aca="1" ref="EJ39" ca="1">_FV(EH39,"Ações em circulação",TRUE)</f>
        <v>121695200</v>
      </c>
      <c r="EK39" s="21">
        <f>VLOOKUP(BK39,Fundamentus!A:U,5,FALSE)</f>
        <v>0</v>
      </c>
      <c r="EL39" s="2" t="e">
        <f ca="1">(BJ39*EJ39)/EK39</f>
        <v>#DIV/0!</v>
      </c>
      <c r="EM39" s="20" t="e">
        <v>#DIV/0!</v>
      </c>
      <c r="EN39" s="20" t="e">
        <f t="shared" ca="1" si="14"/>
        <v>#DIV/0!</v>
      </c>
      <c r="EP39" s="19" t="e">
        <f t="shared" ca="1" si="15"/>
        <v>#DIV/0!</v>
      </c>
      <c r="EQ39" s="40" t="str">
        <f>IF(VLOOKUP(BK39,Fundamentus!A:U,3,FALSE)&lt;15,"Bom",IF(VLOOKUP(BK39,Fundamentus!A:U,3,FALSE)&gt;15,"Ruim","n/a"))</f>
        <v>Bom</v>
      </c>
      <c r="ER39" s="36" t="str">
        <f>IF(VLOOKUP(BK39,Fundamentus!A:U,4,FALSE)&lt;1,"Baixo",IF(VLOOKUP(BK39,Fundamentus!A:U,4,FALSE)&lt;1.5,"Moderado",IF(VLOOKUP(BK39,Fundamentus!A:U,4,FALSE)&gt;1.5,"Alto","n/a")))</f>
        <v>Baixo</v>
      </c>
      <c r="ES39" s="20" t="str">
        <f>IF(VLOOKUP(BK39,Fundamentus!A:U,8,FALSE)&lt;0,"Risco elevado",IF(VLOOKUP(BK39,Fundamentus!A:U,8,FALSE)&lt;1,"Saudável",IF(VLOOKUP(BK39,Fundamentus!A:U,8,FALSE)&lt;3,"Estável",IF(VLOOKUP(BK39,Fundamentus!A:U,8,FALSE)&gt;3,"Alerta","n/a"))))</f>
        <v>Saudável</v>
      </c>
      <c r="ET39" s="36" t="str">
        <f t="shared" si="16"/>
        <v>Ruim</v>
      </c>
      <c r="EU39" s="20" t="str">
        <f>IF(VLOOKUP(BK39,Fundamentus!A:U,12,FALSE)&lt;2,"Subvalorizada",IF(VLOOKUP(BK39,Fundamentus!A:U,12,FALSE)&lt;6,"Muita barata",IF(VLOOKUP(BK39,Fundamentus!A:U,12,FALSE)&lt;6,"Barata",IF(VLOOKUP(BK39,Fundamentus!A:U,12,FALSE)&lt;8,"Atrativa",IF(VLOOKUP(BK39,Fundamentus!A:U,12,FALSE)&gt;8,"Supervalorizada","n/a")))))</f>
        <v>Subvalorizada</v>
      </c>
      <c r="EW39" s="20" t="str">
        <f>IF(VLOOKUP(BK39,Fundamentus!A:U,17,FALSE)&lt;0.1,"Fraco retorno",IF(VLOOKUP(BK39,Fundamentus!A:U,17,FALSE)&gt;0.1,"Bom retorno","n/a"))</f>
        <v>Bom retorno</v>
      </c>
      <c r="EX39" s="20" t="str">
        <f>IF(VLOOKUP(BK39,Fundamentus!A:U,16,FALSE)&lt;0.1,"Ineficiente",IF(VLOOKUP(BK39,Fundamentus!A:U,16,FALSE)&gt;0.1,"Eficiente","n/a"))</f>
        <v>Ineficiente</v>
      </c>
      <c r="EY39" s="41" t="str">
        <f>IF(VLOOKUP(BK39,Fundamentus!A:U,16,FALSE)&lt;0.1,"Oper. Ineficiente",IF(VLOOKUP(BK39,Fundamentus!A:U,16,FALSE)&gt;0.1,"Oper.Eficiente","n/a"))</f>
        <v>Oper. Ineficiente</v>
      </c>
      <c r="EZ39" s="42">
        <f>VLOOKUP(BK39,Fundamentus!A:U,14,FALSE)</f>
        <v>0</v>
      </c>
      <c r="FA39" s="20" t="str">
        <f>IF(VLOOKUP(BK39,Fundamentus!A:U,21,FALSE)&lt;0,"Negativo",IF(VLOOKUP(BK39,Fundamentus!A:U,21,FALSE)&lt;0.05,"Fraco",IF(VLOOKUP(BK39,Fundamentus!A:U,21,FALSE)&lt;0.1,"Bom",IF(VLOOKUP(BK39,Fundamentus!A:U,21,FALSE)&gt;0.1,"Muito bom","n/a"))))</f>
        <v>Muito bom</v>
      </c>
      <c r="FC39" s="37" t="str">
        <f>IF(VLOOKUP(BK39,Fundamentus!A:U,15,FALSE)&gt;1,"Bom",IF(VLOOKUP(BK39,Fundamentus!A:U,15,FALSE)&lt;1,"Ruim","n/a"))</f>
        <v>Ruim</v>
      </c>
      <c r="FD39" s="20" t="str">
        <f>IF(VLOOKUP(BK39,Fundamentus!A:U,20,FALSE)&lt;0.5,"Baixa",IF(VLOOKUP(BK39,Fundamentus!A:U,20,FALSE)&lt;1,"Moderada",IF(VLOOKUP(BK39,Fundamentus!A:U,20,FALSE)&lt;2,"Alerta",IF(VLOOKUP(BK39,Fundamentus!A:U,20,FALSE)&gt;2,"Alta","n/a"))))</f>
        <v>Baixa</v>
      </c>
    </row>
    <row r="40" spans="1:160" s="2" customFormat="1" ht="11.25" hidden="1"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8">
        <v>11.76</v>
      </c>
      <c r="BC40" s="62">
        <v>13</v>
      </c>
      <c r="BD40" s="62">
        <v>12.22</v>
      </c>
      <c r="BE40" s="62">
        <v>12.01</v>
      </c>
      <c r="BF40" s="62">
        <v>11.76</v>
      </c>
      <c r="BG40" s="81">
        <v>11.44</v>
      </c>
      <c r="BH40" s="62">
        <v>11.63</v>
      </c>
      <c r="BI40" s="62">
        <v>11.4</v>
      </c>
      <c r="BJ40" s="62" cm="1">
        <f t="array" aca="1" ref="BJ40" ca="1">_FV(EH40,"Preço")</f>
        <v>11.55</v>
      </c>
      <c r="BK40" s="83" t="s">
        <v>37</v>
      </c>
      <c r="BL40" s="44" cm="1">
        <f t="array" aca="1" ref="BL40" ca="1">_FV(EH40,"Média de volume",TRUE)</f>
        <v>941140</v>
      </c>
      <c r="BM40" s="44">
        <v>1299300</v>
      </c>
      <c r="BN40" s="44" cm="1">
        <f t="array" aca="1" ref="BN40" ca="1">_FV(EH40,"Volume")</f>
        <v>509000</v>
      </c>
      <c r="BO40" s="32" cm="1">
        <f t="array" aca="1" ref="BO40" ca="1">_FV(EH40,"Beta")</f>
        <v>1.0739000000000001</v>
      </c>
      <c r="BP40" s="86" cm="1">
        <f t="array" aca="1" ref="BP40" ca="1">_FV(EH40,"Variação (%)",TRUE)</f>
        <v>1.3158000000000001E-2</v>
      </c>
      <c r="BQ40" s="48"/>
      <c r="BR40" s="48"/>
      <c r="BT40" s="20" cm="1">
        <f t="array" aca="1" ref="BT40" ca="1">_FV(EH40,"Baixo")</f>
        <v>11.38</v>
      </c>
      <c r="BU40" s="20" cm="1">
        <f t="array" aca="1" ref="BU40" ca="1">_FV(EH40,"Alto")</f>
        <v>11.7</v>
      </c>
      <c r="BV40" s="32"/>
      <c r="BW40" s="73">
        <f ca="1">SQRT(22.5*(BJ40/VLOOKUP(BK40,Fundamentus!A:U,3,FALSE))*(BJ40/VLOOKUP(BK40,Fundamentus!A:U,4,FALSE)))</f>
        <v>37.161515858069691</v>
      </c>
      <c r="BY40" s="72">
        <f t="shared" ca="1" si="0"/>
        <v>1.3157894736842136E-2</v>
      </c>
      <c r="BZ40" s="8"/>
      <c r="CA40" s="71">
        <f t="shared" si="36"/>
        <v>9.57</v>
      </c>
      <c r="CB40" s="71">
        <f t="shared" si="1"/>
        <v>13</v>
      </c>
      <c r="CC40" s="71">
        <f t="shared" si="37"/>
        <v>11.173196721311477</v>
      </c>
      <c r="CD40" s="17"/>
      <c r="CE40" s="43">
        <f t="shared" si="19"/>
        <v>11.043666857360892</v>
      </c>
      <c r="CF40" s="18">
        <f>FORECAST("04/07/2025", BF40:BI40, $BF$5:$BI$5)</f>
        <v>11.335000000000036</v>
      </c>
      <c r="CG40" s="43">
        <f t="shared" si="20"/>
        <v>11.626333142639181</v>
      </c>
      <c r="CI40" s="17"/>
      <c r="CJ40" s="20">
        <f>CA40-2*(CB40-CM40)</f>
        <v>6.216666666666665</v>
      </c>
      <c r="CK40" s="20">
        <f>CM40-(CB40-CA40)</f>
        <v>7.8933333333333326</v>
      </c>
      <c r="CL40" s="20">
        <f>2*CM40-CB40</f>
        <v>9.6466666666666647</v>
      </c>
      <c r="CM40" s="48">
        <f>(CB40+CA40+BI40)/3</f>
        <v>11.323333333333332</v>
      </c>
      <c r="CN40" s="20">
        <f>2*CM40-CA40</f>
        <v>13.076666666666664</v>
      </c>
      <c r="CO40" s="20">
        <f>CM40+(CB40-CA40)</f>
        <v>14.753333333333332</v>
      </c>
      <c r="CP40" s="20">
        <f>CB40+2*(CM40-CA40)</f>
        <v>16.506666666666664</v>
      </c>
      <c r="CQ40" s="2" cm="1">
        <f t="array" aca="1" ref="CQ40" ca="1">MAX(_xlfn._xlws.FILTER(CJ40:CP40,CJ40:CP40&lt;BJ40))</f>
        <v>11.323333333333332</v>
      </c>
      <c r="CR40" s="2" cm="1">
        <f t="array" aca="1" ref="CR40" ca="1">MIN(_xlfn._xlws.FILTER($CJ40:$CP40,$CJ40:$CP40&gt;BJ40))</f>
        <v>13.076666666666664</v>
      </c>
      <c r="CS40" s="19">
        <f t="shared" ca="1" si="55"/>
        <v>0.15484250809537814</v>
      </c>
      <c r="CT40" s="23">
        <f t="shared" ca="1" si="56"/>
        <v>-7.742125404768907E-2</v>
      </c>
      <c r="CU40" s="23">
        <f t="shared" ca="1" si="57"/>
        <v>-5.1614169365126049E-2</v>
      </c>
      <c r="CV40" s="23">
        <f t="shared" ca="1" si="58"/>
        <v>-3.0968501619075627E-2</v>
      </c>
      <c r="CW40" s="23">
        <f t="shared" ca="1" si="59"/>
        <v>-1.7204723121708683E-2</v>
      </c>
      <c r="CX40" s="23">
        <f t="shared" ca="1" si="60"/>
        <v>-9.1083828291398904E-3</v>
      </c>
      <c r="CY40" s="23">
        <f t="shared" ca="1" si="61"/>
        <v>-4.6921972150114587E-3</v>
      </c>
      <c r="CZ40" s="23">
        <f t="shared" ca="1" si="62"/>
        <v>-2.3821924322365868E-3</v>
      </c>
      <c r="DA40" s="24">
        <f t="shared" ca="1" si="63"/>
        <v>2.3821924322365868E-3</v>
      </c>
      <c r="DB40" s="24">
        <f t="shared" ca="1" si="64"/>
        <v>4.6921972150114587E-3</v>
      </c>
      <c r="DC40" s="24">
        <f t="shared" ca="1" si="65"/>
        <v>9.1083828291398904E-3</v>
      </c>
      <c r="DD40" s="24">
        <f t="shared" ca="1" si="66"/>
        <v>1.7204723121708683E-2</v>
      </c>
      <c r="DE40" s="24">
        <f t="shared" ca="1" si="67"/>
        <v>3.0968501619075627E-2</v>
      </c>
      <c r="DF40" s="24">
        <f t="shared" ca="1" si="68"/>
        <v>5.1614169365126049E-2</v>
      </c>
      <c r="DG40" s="24">
        <f t="shared" ca="1" si="69"/>
        <v>7.742125404768907E-2</v>
      </c>
      <c r="DI40" s="19" cm="1">
        <f t="array" aca="1" ref="DI40" ca="1">MAX(_xlfn._xlws.FILTER(CT40:DG40,CT40:DG40&lt;BP40))</f>
        <v>9.1083828291398904E-3</v>
      </c>
      <c r="DJ40" s="19" cm="1">
        <f t="array" aca="1" ref="DJ40" ca="1">MIN(_xlfn._xlws.FILTER(CT40:DG40,CT40:DG40&gt;BP40))</f>
        <v>1.7204723121708683E-2</v>
      </c>
      <c r="DK40" s="2" cm="1">
        <f t="array" aca="1" ref="DK40" ca="1">_FV(EH40,"Fechamento anterior",TRUE)</f>
        <v>11.4</v>
      </c>
      <c r="DL40" s="36">
        <f ca="1">(BJ40-DM40)/(DN40-DM40)</f>
        <v>0.50016572443466478</v>
      </c>
      <c r="DM40" s="18">
        <f t="shared" ca="1" si="70"/>
        <v>11.503835564252196</v>
      </c>
      <c r="DN40" s="18">
        <f t="shared" ca="1" si="71"/>
        <v>11.596133843587479</v>
      </c>
      <c r="DO40" s="9"/>
      <c r="DP40" s="9"/>
      <c r="DQ40" s="94">
        <v>9.5677049040067495E-3</v>
      </c>
      <c r="DR40" s="94">
        <v>5.6302263473578173E-3</v>
      </c>
      <c r="DS40" s="94">
        <v>1.3852134992975926E-2</v>
      </c>
      <c r="DT40" s="94">
        <f t="shared" ca="1" si="12"/>
        <v>8.0963402925687926E-3</v>
      </c>
      <c r="DU40" s="87">
        <f ca="1">(BJ40-CF40)/(CF40-CE40)</f>
        <v>0.73798675307694295</v>
      </c>
      <c r="DV40" s="46"/>
      <c r="DW40" s="43">
        <f>_xlfn.STDEV.P(BF40:BI40)</f>
        <v>0.14566657131957217</v>
      </c>
      <c r="DX40" s="76">
        <f ca="1">BO40-$DT$2</f>
        <v>7.6799999999999979E-2</v>
      </c>
      <c r="DY40" s="76">
        <f ca="1">BO40-BP40*100</f>
        <v>-0.2419</v>
      </c>
      <c r="DZ40" s="101"/>
      <c r="EA40" s="100">
        <v>0.29869999999999997</v>
      </c>
      <c r="EB40" s="107">
        <v>-0.78000000000000025</v>
      </c>
      <c r="EC40" s="107">
        <v>-0.51599999999999979</v>
      </c>
      <c r="ED40" s="98">
        <f t="shared" ca="1" si="13"/>
        <v>0.31869999999999998</v>
      </c>
      <c r="EE40" s="66"/>
      <c r="EF40" s="66"/>
      <c r="EH40" s="2" t="e" vm="40">
        <v>#VALUE!</v>
      </c>
      <c r="EJ40" s="10" cm="1">
        <f t="array" aca="1" ref="EJ40" ca="1">_FV(EH40,"Ações em circulação",TRUE)</f>
        <v>408974500</v>
      </c>
      <c r="EK40" s="21">
        <f>VLOOKUP(BK40,Fundamentus!A:U,5,FALSE)</f>
        <v>0</v>
      </c>
      <c r="EL40" s="2" t="e">
        <f ca="1">(BJ40*EJ40)/EK40</f>
        <v>#DIV/0!</v>
      </c>
      <c r="EM40" s="20" t="e">
        <v>#DIV/0!</v>
      </c>
      <c r="EN40" s="20" t="e">
        <f t="shared" ca="1" si="14"/>
        <v>#DIV/0!</v>
      </c>
      <c r="EP40" s="19" t="e">
        <f t="shared" ca="1" si="15"/>
        <v>#DIV/0!</v>
      </c>
      <c r="EQ40" s="40" t="str">
        <f>IF(VLOOKUP(BK40,Fundamentus!A:U,3,FALSE)&lt;15,"Bom",IF(VLOOKUP(BK40,Fundamentus!A:U,3,FALSE)&gt;15,"Ruim","n/a"))</f>
        <v>Bom</v>
      </c>
      <c r="ER40" s="36" t="str">
        <f>IF(VLOOKUP(BK40,Fundamentus!A:U,4,FALSE)&lt;1,"Baixo",IF(VLOOKUP(BK40,Fundamentus!A:U,4,FALSE)&lt;1.5,"Moderado",IF(VLOOKUP(BK40,Fundamentus!A:U,4,FALSE)&gt;1.5,"Alto","n/a")))</f>
        <v>Baixo</v>
      </c>
      <c r="ES40" s="20" t="str">
        <f>IF(VLOOKUP(BK40,Fundamentus!A:U,8,FALSE)&lt;0,"Risco elevado",IF(VLOOKUP(BK40,Fundamentus!A:U,8,FALSE)&lt;1,"Saudável",IF(VLOOKUP(BK40,Fundamentus!A:U,8,FALSE)&lt;3,"Estável",IF(VLOOKUP(BK40,Fundamentus!A:U,8,FALSE)&gt;3,"Alerta","n/a"))))</f>
        <v>Saudável</v>
      </c>
      <c r="ET40" s="36" t="str">
        <f t="shared" si="16"/>
        <v>Ruim</v>
      </c>
      <c r="EU40" s="20" t="str">
        <f>IF(VLOOKUP(BK40,Fundamentus!A:U,12,FALSE)&lt;2,"Subvalorizada",IF(VLOOKUP(BK40,Fundamentus!A:U,12,FALSE)&lt;6,"Muita barata",IF(VLOOKUP(BK40,Fundamentus!A:U,12,FALSE)&lt;6,"Barata",IF(VLOOKUP(BK40,Fundamentus!A:U,12,FALSE)&lt;8,"Atrativa",IF(VLOOKUP(BK40,Fundamentus!A:U,12,FALSE)&gt;8,"Supervalorizada","n/a")))))</f>
        <v>Subvalorizada</v>
      </c>
      <c r="EW40" s="20" t="str">
        <f>IF(VLOOKUP(BK40,Fundamentus!A:U,17,FALSE)&lt;0.1,"Fraco retorno",IF(VLOOKUP(BK40,Fundamentus!A:U,17,FALSE)&gt;0.1,"Bom retorno","n/a"))</f>
        <v>Fraco retorno</v>
      </c>
      <c r="EX40" s="20" t="str">
        <f>IF(VLOOKUP(BK40,Fundamentus!A:U,16,FALSE)&lt;0.1,"Ineficiente",IF(VLOOKUP(BK40,Fundamentus!A:U,16,FALSE)&gt;0.1,"Eficiente","n/a"))</f>
        <v>Ineficiente</v>
      </c>
      <c r="EY40" s="41" t="str">
        <f>IF(VLOOKUP(BK40,Fundamentus!A:U,16,FALSE)&lt;0.1,"Oper. Ineficiente",IF(VLOOKUP(BK40,Fundamentus!A:U,16,FALSE)&gt;0.1,"Oper.Eficiente","n/a"))</f>
        <v>Oper. Ineficiente</v>
      </c>
      <c r="EZ40" s="42">
        <f>VLOOKUP(BK40,Fundamentus!A:U,14,FALSE)</f>
        <v>0</v>
      </c>
      <c r="FA40" s="20" t="str">
        <f>IF(VLOOKUP(BK40,Fundamentus!A:U,21,FALSE)&lt;0,"Negativo",IF(VLOOKUP(BK40,Fundamentus!A:U,21,FALSE)&lt;0.05,"Fraco",IF(VLOOKUP(BK40,Fundamentus!A:U,21,FALSE)&lt;0.1,"Bom",IF(VLOOKUP(BK40,Fundamentus!A:U,21,FALSE)&gt;0.1,"Muito bom","n/a"))))</f>
        <v>Fraco</v>
      </c>
      <c r="FC40" s="37" t="str">
        <f>IF(VLOOKUP(BK40,Fundamentus!A:U,15,FALSE)&gt;1,"Bom",IF(VLOOKUP(BK40,Fundamentus!A:U,15,FALSE)&lt;1,"Ruim","n/a"))</f>
        <v>Ruim</v>
      </c>
      <c r="FD40" s="20" t="str">
        <f>IF(VLOOKUP(BK40,Fundamentus!A:U,20,FALSE)&lt;0.5,"Baixa",IF(VLOOKUP(BK40,Fundamentus!A:U,20,FALSE)&lt;1,"Moderada",IF(VLOOKUP(BK40,Fundamentus!A:U,20,FALSE)&lt;2,"Alerta",IF(VLOOKUP(BK40,Fundamentus!A:U,20,FALSE)&gt;2,"Alta","n/a"))))</f>
        <v>Baixa</v>
      </c>
    </row>
    <row r="41" spans="1:160" s="2" customFormat="1" ht="11.25" hidden="1"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8">
        <v>17.440000000000001</v>
      </c>
      <c r="BC41" s="62">
        <v>17.309999999999999</v>
      </c>
      <c r="BD41" s="62">
        <v>17.489999999999998</v>
      </c>
      <c r="BE41" s="62">
        <v>17.37</v>
      </c>
      <c r="BF41" s="62">
        <v>17.37</v>
      </c>
      <c r="BG41" s="81">
        <v>17.440000000000001</v>
      </c>
      <c r="BH41" s="62">
        <v>17.5</v>
      </c>
      <c r="BI41" s="62">
        <v>17.45</v>
      </c>
      <c r="BJ41" s="62" cm="1">
        <f t="array" aca="1" ref="BJ41" ca="1">_FV(EH41,"Preço")</f>
        <v>17.47</v>
      </c>
      <c r="BK41" s="83" t="s">
        <v>38</v>
      </c>
      <c r="BL41" s="44" cm="1">
        <f t="array" aca="1" ref="BL41" ca="1">_FV(EH41,"Média de volume",TRUE)</f>
        <v>1048000</v>
      </c>
      <c r="BM41" s="44">
        <v>875000</v>
      </c>
      <c r="BN41" s="44" cm="1">
        <f t="array" aca="1" ref="BN41" ca="1">_FV(EH41,"Volume")</f>
        <v>308100</v>
      </c>
      <c r="BO41" s="32" cm="1">
        <f t="array" aca="1" ref="BO41" ca="1">_FV(EH41,"Beta")</f>
        <v>1.0817000000000001</v>
      </c>
      <c r="BP41" s="86" cm="1">
        <f t="array" aca="1" ref="BP41" ca="1">_FV(EH41,"Variação (%)",TRUE)</f>
        <v>1.1459999999999999E-3</v>
      </c>
      <c r="BQ41" s="48"/>
      <c r="BR41" s="48"/>
      <c r="BT41" s="20" cm="1">
        <f t="array" aca="1" ref="BT41" ca="1">_FV(EH41,"Baixo")</f>
        <v>17.45</v>
      </c>
      <c r="BU41" s="20" cm="1">
        <f t="array" aca="1" ref="BU41" ca="1">_FV(EH41,"Alto")</f>
        <v>17.48</v>
      </c>
      <c r="BV41" s="32"/>
      <c r="BW41" s="73">
        <f ca="1">SQRT(22.5*(BJ41/VLOOKUP(BK41,Fundamentus!A:U,3,FALSE))*(BJ41/VLOOKUP(BK41,Fundamentus!A:U,4,FALSE)))</f>
        <v>13.503427162788448</v>
      </c>
      <c r="BY41" s="72">
        <f t="shared" ca="1" si="0"/>
        <v>1.1461318051575688E-3</v>
      </c>
      <c r="BZ41" s="8"/>
      <c r="CA41" s="71">
        <f t="shared" si="36"/>
        <v>14.55</v>
      </c>
      <c r="CB41" s="71">
        <f t="shared" si="1"/>
        <v>17.5</v>
      </c>
      <c r="CC41" s="71">
        <f t="shared" si="37"/>
        <v>16.525737704918036</v>
      </c>
      <c r="CD41" s="17"/>
      <c r="CE41" s="43">
        <f t="shared" si="19"/>
        <v>17.422263815045032</v>
      </c>
      <c r="CF41" s="18">
        <f>FORECAST("04/07/2025", BF41:BI41, $BF$5:$BI$5)</f>
        <v>17.514999999999986</v>
      </c>
      <c r="CG41" s="43">
        <f t="shared" si="20"/>
        <v>17.607736184954941</v>
      </c>
      <c r="CI41" s="17"/>
      <c r="CJ41" s="20">
        <f>CA41-2*(CB41-CM41)</f>
        <v>12.55</v>
      </c>
      <c r="CK41" s="20">
        <f>CM41-(CB41-CA41)</f>
        <v>13.55</v>
      </c>
      <c r="CL41" s="20">
        <f>2*CM41-CB41</f>
        <v>15.5</v>
      </c>
      <c r="CM41" s="48">
        <f>(CB41+CA41+BI41)/3</f>
        <v>16.5</v>
      </c>
      <c r="CN41" s="20">
        <f>2*CM41-CA41</f>
        <v>18.45</v>
      </c>
      <c r="CO41" s="20">
        <f>CM41+(CB41-CA41)</f>
        <v>19.45</v>
      </c>
      <c r="CP41" s="20">
        <f>CB41+2*(CM41-CA41)</f>
        <v>21.4</v>
      </c>
      <c r="CQ41" s="2" cm="1">
        <f t="array" aca="1" ref="CQ41" ca="1">MAX(_xlfn._xlws.FILTER(CJ41:CP41,CJ41:CP41&lt;BJ41))</f>
        <v>16.5</v>
      </c>
      <c r="CR41" s="2" cm="1">
        <f t="array" aca="1" ref="CR41" ca="1">MIN(_xlfn._xlws.FILTER($CJ41:$CP41,$CJ41:$CP41&gt;BJ41))</f>
        <v>18.45</v>
      </c>
      <c r="CS41" s="19">
        <f t="shared" ca="1" si="55"/>
        <v>0.11818181818181817</v>
      </c>
      <c r="CT41" s="23">
        <f t="shared" ca="1" si="56"/>
        <v>-5.9090909090909083E-2</v>
      </c>
      <c r="CU41" s="23">
        <f t="shared" ca="1" si="57"/>
        <v>-3.9393939393939391E-2</v>
      </c>
      <c r="CV41" s="23">
        <f t="shared" ca="1" si="58"/>
        <v>-2.3636363636363632E-2</v>
      </c>
      <c r="CW41" s="23">
        <f t="shared" ca="1" si="59"/>
        <v>-1.3131313131313129E-2</v>
      </c>
      <c r="CX41" s="23">
        <f t="shared" ca="1" si="60"/>
        <v>-6.9518716577540093E-3</v>
      </c>
      <c r="CY41" s="23">
        <f t="shared" ca="1" si="61"/>
        <v>-3.5812672176308534E-3</v>
      </c>
      <c r="CZ41" s="23">
        <f t="shared" ca="1" si="62"/>
        <v>-1.818181818181818E-3</v>
      </c>
      <c r="DA41" s="24">
        <f t="shared" ca="1" si="63"/>
        <v>1.818181818181818E-3</v>
      </c>
      <c r="DB41" s="24">
        <f t="shared" ca="1" si="64"/>
        <v>3.5812672176308534E-3</v>
      </c>
      <c r="DC41" s="24">
        <f t="shared" ca="1" si="65"/>
        <v>6.9518716577540093E-3</v>
      </c>
      <c r="DD41" s="24">
        <f t="shared" ca="1" si="66"/>
        <v>1.3131313131313129E-2</v>
      </c>
      <c r="DE41" s="24">
        <f t="shared" ca="1" si="67"/>
        <v>2.3636363636363632E-2</v>
      </c>
      <c r="DF41" s="24">
        <f t="shared" ca="1" si="68"/>
        <v>3.9393939393939391E-2</v>
      </c>
      <c r="DG41" s="24">
        <f t="shared" ca="1" si="69"/>
        <v>5.9090909090909083E-2</v>
      </c>
      <c r="DI41" s="19" cm="1">
        <f t="array" aca="1" ref="DI41" ca="1">MAX(_xlfn._xlws.FILTER(CT41:DG41,CT41:DG41&lt;BP41))</f>
        <v>-1.818181818181818E-3</v>
      </c>
      <c r="DJ41" s="19" cm="1">
        <f t="array" aca="1" ref="DJ41" ca="1">MIN(_xlfn._xlws.FILTER(CT41:DG41,CT41:DG41&gt;BP41))</f>
        <v>1.818181818181818E-3</v>
      </c>
      <c r="DK41" s="2" cm="1">
        <f t="array" aca="1" ref="DK41" ca="1">_FV(EH41,"Fechamento anterior",TRUE)</f>
        <v>17.45</v>
      </c>
      <c r="DL41" s="36">
        <f ca="1">(BJ41-DM41)/(DN41-DM41)</f>
        <v>0.8151862464183216</v>
      </c>
      <c r="DM41" s="18">
        <f t="shared" ca="1" si="70"/>
        <v>17.418272727272726</v>
      </c>
      <c r="DN41" s="18">
        <f t="shared" ca="1" si="71"/>
        <v>17.481727272727273</v>
      </c>
      <c r="DO41" s="9"/>
      <c r="DP41" s="9"/>
      <c r="DQ41" s="94">
        <v>3.0046190903647201E-3</v>
      </c>
      <c r="DR41" s="94">
        <v>3.2415217494127084E-3</v>
      </c>
      <c r="DS41" s="94">
        <v>3.6253964305702404E-3</v>
      </c>
      <c r="DT41" s="94">
        <f t="shared" ca="1" si="12"/>
        <v>3.6363636363636359E-3</v>
      </c>
      <c r="DU41" s="87">
        <f ca="1">(BJ41-CF41)/(CF41-CE41)</f>
        <v>-0.48524747941534951</v>
      </c>
      <c r="DV41" s="46"/>
      <c r="DW41" s="43">
        <f>_xlfn.STDEV.P(BF41:BI41)</f>
        <v>4.6368092477478105E-2</v>
      </c>
      <c r="DX41" s="76">
        <f ca="1">BO41-$DT$2</f>
        <v>8.4600000000000009E-2</v>
      </c>
      <c r="DY41" s="76">
        <f ca="1">BO41-BP41*100</f>
        <v>0.96710000000000007</v>
      </c>
      <c r="DZ41" s="101"/>
      <c r="EA41" s="100">
        <v>0.5855999999999999</v>
      </c>
      <c r="EB41" s="107">
        <v>1.3562999999999998</v>
      </c>
      <c r="EC41" s="107">
        <v>-4.7799999999999843E-2</v>
      </c>
      <c r="ED41" s="98">
        <f t="shared" ca="1" si="13"/>
        <v>-0.88250000000000006</v>
      </c>
      <c r="EE41" s="66"/>
      <c r="EF41" s="66"/>
      <c r="EH41" s="2" t="e" vm="41">
        <v>#VALUE!</v>
      </c>
      <c r="EJ41" s="10" cm="1">
        <f t="array" aca="1" ref="EJ41" ca="1">_FV(EH41,"Ações em circulação",TRUE)</f>
        <v>440977900</v>
      </c>
      <c r="EK41" s="21">
        <f>VLOOKUP(BK41,Fundamentus!A:U,5,FALSE)</f>
        <v>2.52</v>
      </c>
      <c r="EL41" s="2">
        <f ca="1">(BJ41*EJ41)/EK41</f>
        <v>3057096790.8730154</v>
      </c>
      <c r="EM41" s="20">
        <v>578351265.41150796</v>
      </c>
      <c r="EN41" s="20">
        <f t="shared" ca="1" si="14"/>
        <v>579014132.19134915</v>
      </c>
      <c r="EP41" s="19">
        <f t="shared" ca="1" si="15"/>
        <v>1.1461318051575464E-3</v>
      </c>
      <c r="EQ41" s="40" t="str">
        <f>IF(VLOOKUP(BK41,Fundamentus!A:U,3,FALSE)&lt;15,"Bom",IF(VLOOKUP(BK41,Fundamentus!A:U,3,FALSE)&gt;15,"Ruim","n/a"))</f>
        <v>Bom</v>
      </c>
      <c r="ER41" s="36" t="str">
        <f>IF(VLOOKUP(BK41,Fundamentus!A:U,4,FALSE)&lt;1,"Baixo",IF(VLOOKUP(BK41,Fundamentus!A:U,4,FALSE)&lt;1.5,"Moderado",IF(VLOOKUP(BK41,Fundamentus!A:U,4,FALSE)&gt;1.5,"Alto","n/a")))</f>
        <v>Alto</v>
      </c>
      <c r="ES41" s="20" t="str">
        <f>IF(VLOOKUP(BK41,Fundamentus!A:U,8,FALSE)&lt;0,"Risco elevado",IF(VLOOKUP(BK41,Fundamentus!A:U,8,FALSE)&lt;1,"Saudável",IF(VLOOKUP(BK41,Fundamentus!A:U,8,FALSE)&lt;3,"Estável",IF(VLOOKUP(BK41,Fundamentus!A:U,8,FALSE)&gt;3,"Alerta","n/a"))))</f>
        <v>Alerta</v>
      </c>
      <c r="ET41" s="36" t="str">
        <f t="shared" si="16"/>
        <v>Bom</v>
      </c>
      <c r="EU41" s="20" t="str">
        <f>IF(VLOOKUP(BK41,Fundamentus!A:U,12,FALSE)&lt;2,"Subvalorizada",IF(VLOOKUP(BK41,Fundamentus!A:U,12,FALSE)&lt;6,"Muita barata",IF(VLOOKUP(BK41,Fundamentus!A:U,12,FALSE)&lt;6,"Barata",IF(VLOOKUP(BK41,Fundamentus!A:U,12,FALSE)&lt;8,"Atrativa",IF(VLOOKUP(BK41,Fundamentus!A:U,12,FALSE)&gt;8,"Supervalorizada","n/a")))))</f>
        <v>Atrativa</v>
      </c>
      <c r="EW41" s="20" t="str">
        <f>IF(VLOOKUP(BK41,Fundamentus!A:U,17,FALSE)&lt;0.1,"Fraco retorno",IF(VLOOKUP(BK41,Fundamentus!A:U,17,FALSE)&gt;0.1,"Bom retorno","n/a"))</f>
        <v>Bom retorno</v>
      </c>
      <c r="EX41" s="20" t="str">
        <f>IF(VLOOKUP(BK41,Fundamentus!A:U,16,FALSE)&lt;0.1,"Ineficiente",IF(VLOOKUP(BK41,Fundamentus!A:U,16,FALSE)&gt;0.1,"Eficiente","n/a"))</f>
        <v>Eficiente</v>
      </c>
      <c r="EY41" s="41" t="str">
        <f>IF(VLOOKUP(BK41,Fundamentus!A:U,16,FALSE)&lt;0.1,"Oper. Ineficiente",IF(VLOOKUP(BK41,Fundamentus!A:U,16,FALSE)&gt;0.1,"Oper.Eficiente","n/a"))</f>
        <v>Oper.Eficiente</v>
      </c>
      <c r="EZ41" s="42">
        <f>VLOOKUP(BK41,Fundamentus!A:U,14,FALSE)</f>
        <v>0.18940000000000001</v>
      </c>
      <c r="FA41" s="20" t="str">
        <f>IF(VLOOKUP(BK41,Fundamentus!A:U,21,FALSE)&lt;0,"Negativo",IF(VLOOKUP(BK41,Fundamentus!A:U,21,FALSE)&lt;0.05,"Fraco",IF(VLOOKUP(BK41,Fundamentus!A:U,21,FALSE)&lt;0.1,"Bom",IF(VLOOKUP(BK41,Fundamentus!A:U,21,FALSE)&gt;0.1,"Muito bom","n/a"))))</f>
        <v>Fraco</v>
      </c>
      <c r="FC41" s="37" t="str">
        <f>IF(VLOOKUP(BK41,Fundamentus!A:U,15,FALSE)&gt;1,"Bom",IF(VLOOKUP(BK41,Fundamentus!A:U,15,FALSE)&lt;1,"Ruim","n/a"))</f>
        <v>Bom</v>
      </c>
      <c r="FD41" s="20" t="str">
        <f>IF(VLOOKUP(BK41,Fundamentus!A:U,20,FALSE)&lt;0.5,"Baixa",IF(VLOOKUP(BK41,Fundamentus!A:U,20,FALSE)&lt;1,"Moderada",IF(VLOOKUP(BK41,Fundamentus!A:U,20,FALSE)&lt;2,"Alerta",IF(VLOOKUP(BK41,Fundamentus!A:U,20,FALSE)&gt;2,"Alta","n/a"))))</f>
        <v>Moderada</v>
      </c>
    </row>
    <row r="42" spans="1:160" s="2" customFormat="1" ht="11.25" hidden="1"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8">
        <v>4.95</v>
      </c>
      <c r="BC42" s="62">
        <v>5.3</v>
      </c>
      <c r="BD42" s="62">
        <v>5.3</v>
      </c>
      <c r="BE42" s="62">
        <v>5.3</v>
      </c>
      <c r="BF42" s="62">
        <v>5.18</v>
      </c>
      <c r="BG42" s="81">
        <v>5.68</v>
      </c>
      <c r="BH42" s="62">
        <v>6</v>
      </c>
      <c r="BI42" s="62">
        <v>5.86</v>
      </c>
      <c r="BJ42" s="62" cm="1">
        <f t="array" aca="1" ref="BJ42" ca="1">_FV(EH42,"Preço")</f>
        <v>5.93</v>
      </c>
      <c r="BK42" s="83" t="s">
        <v>39</v>
      </c>
      <c r="BL42" s="44" cm="1">
        <f t="array" aca="1" ref="BL42" ca="1">_FV(EH42,"Média de volume",TRUE)</f>
        <v>247730</v>
      </c>
      <c r="BM42" s="44">
        <v>133600</v>
      </c>
      <c r="BN42" s="44" cm="1">
        <f t="array" aca="1" ref="BN42" ca="1">_FV(EH42,"Volume")</f>
        <v>111900</v>
      </c>
      <c r="BO42" s="32" cm="1">
        <f t="array" aca="1" ref="BO42" ca="1">_FV(EH42,"Beta")</f>
        <v>1.2254</v>
      </c>
      <c r="BP42" s="86" cm="1">
        <f t="array" aca="1" ref="BP42" ca="1">_FV(EH42,"Variação (%)",TRUE)</f>
        <v>1.1944999999999999E-2</v>
      </c>
      <c r="BQ42" s="48"/>
      <c r="BR42" s="48"/>
      <c r="BT42" s="20" cm="1">
        <f t="array" aca="1" ref="BT42" ca="1">_FV(EH42,"Baixo")</f>
        <v>5.86</v>
      </c>
      <c r="BU42" s="20" cm="1">
        <f t="array" aca="1" ref="BU42" ca="1">_FV(EH42,"Alto")</f>
        <v>5.93</v>
      </c>
      <c r="BV42" s="32"/>
      <c r="BW42" s="73">
        <f ca="1">SQRT(22.5*(BJ42/VLOOKUP(BK42,Fundamentus!A:U,3,FALSE))*(BJ42/VLOOKUP(BK42,Fundamentus!A:U,4,FALSE)))</f>
        <v>12.037208137208989</v>
      </c>
      <c r="BY42" s="72">
        <f t="shared" ca="1" si="0"/>
        <v>1.1945392491467473E-2</v>
      </c>
      <c r="BZ42" s="8"/>
      <c r="CA42" s="71">
        <f t="shared" si="36"/>
        <v>4.05</v>
      </c>
      <c r="CB42" s="71">
        <f t="shared" si="1"/>
        <v>6</v>
      </c>
      <c r="CC42" s="71">
        <f t="shared" si="37"/>
        <v>4.5980327868852475</v>
      </c>
      <c r="CD42" s="17"/>
      <c r="CE42" s="43">
        <f t="shared" si="19"/>
        <v>5.649677503229376</v>
      </c>
      <c r="CF42" s="18">
        <f>FORECAST("04/07/2025", BF42:BI42, $BF$5:$BI$5)</f>
        <v>6.2700000000002092</v>
      </c>
      <c r="CG42" s="43">
        <f t="shared" si="20"/>
        <v>6.8903224967710424</v>
      </c>
      <c r="CI42" s="17"/>
      <c r="CJ42" s="20">
        <f>CA42-2*(CB42-CM42)</f>
        <v>2.6566666666666672</v>
      </c>
      <c r="CK42" s="20">
        <f>CM42-(CB42-CA42)</f>
        <v>3.3533333333333335</v>
      </c>
      <c r="CL42" s="20">
        <f>2*CM42-CB42</f>
        <v>4.6066666666666674</v>
      </c>
      <c r="CM42" s="48">
        <f>(CB42+CA42+BI42)/3</f>
        <v>5.3033333333333337</v>
      </c>
      <c r="CN42" s="20">
        <f>2*CM42-CA42</f>
        <v>6.5566666666666675</v>
      </c>
      <c r="CO42" s="20">
        <f>CM42+(CB42-CA42)</f>
        <v>7.2533333333333339</v>
      </c>
      <c r="CP42" s="20">
        <f>CB42+2*(CM42-CA42)</f>
        <v>8.5066666666666677</v>
      </c>
      <c r="CQ42" s="2" cm="1">
        <f t="array" aca="1" ref="CQ42" ca="1">MAX(_xlfn._xlws.FILTER(CJ42:CP42,CJ42:CP42&lt;BJ42))</f>
        <v>5.3033333333333337</v>
      </c>
      <c r="CR42" s="2" cm="1">
        <f t="array" aca="1" ref="CR42" ca="1">MIN(_xlfn._xlws.FILTER($CJ42:$CP42,$CJ42:$CP42&gt;BJ42))</f>
        <v>6.5566666666666675</v>
      </c>
      <c r="CS42" s="19">
        <f t="shared" ca="1" si="55"/>
        <v>0.23632935260842247</v>
      </c>
      <c r="CT42" s="23">
        <f t="shared" ca="1" si="56"/>
        <v>-0.11816467630421124</v>
      </c>
      <c r="CU42" s="23">
        <f t="shared" ca="1" si="57"/>
        <v>-7.8776450869474157E-2</v>
      </c>
      <c r="CV42" s="23">
        <f t="shared" ca="1" si="58"/>
        <v>-4.7265870521684496E-2</v>
      </c>
      <c r="CW42" s="23">
        <f t="shared" ca="1" si="59"/>
        <v>-2.6258816956491387E-2</v>
      </c>
      <c r="CX42" s="23">
        <f t="shared" ca="1" si="60"/>
        <v>-1.3901726624024851E-2</v>
      </c>
      <c r="CY42" s="23">
        <f t="shared" ca="1" si="61"/>
        <v>-7.16149553358856E-3</v>
      </c>
      <c r="CZ42" s="23">
        <f t="shared" ca="1" si="62"/>
        <v>-3.6358361939757304E-3</v>
      </c>
      <c r="DA42" s="24">
        <f t="shared" ca="1" si="63"/>
        <v>3.6358361939757304E-3</v>
      </c>
      <c r="DB42" s="24">
        <f t="shared" ca="1" si="64"/>
        <v>7.16149553358856E-3</v>
      </c>
      <c r="DC42" s="24">
        <f t="shared" ca="1" si="65"/>
        <v>1.3901726624024851E-2</v>
      </c>
      <c r="DD42" s="24">
        <f t="shared" ca="1" si="66"/>
        <v>2.6258816956491387E-2</v>
      </c>
      <c r="DE42" s="24">
        <f t="shared" ca="1" si="67"/>
        <v>4.7265870521684496E-2</v>
      </c>
      <c r="DF42" s="24">
        <f t="shared" ca="1" si="68"/>
        <v>7.8776450869474157E-2</v>
      </c>
      <c r="DG42" s="24">
        <f t="shared" ca="1" si="69"/>
        <v>0.11816467630421124</v>
      </c>
      <c r="DI42" s="19" cm="1">
        <f t="array" aca="1" ref="DI42" ca="1">MAX(_xlfn._xlws.FILTER(CT42:DG42,CT42:DG42&lt;BP42))</f>
        <v>7.16149553358856E-3</v>
      </c>
      <c r="DJ42" s="19" cm="1">
        <f t="array" aca="1" ref="DJ42" ca="1">MIN(_xlfn._xlws.FILTER(CT42:DG42,CT42:DG42&gt;BP42))</f>
        <v>1.3901726624024851E-2</v>
      </c>
      <c r="DK42" s="2" cm="1">
        <f t="array" aca="1" ref="DK42" ca="1">_FV(EH42,"Fechamento anterior",TRUE)</f>
        <v>5.86</v>
      </c>
      <c r="DL42" s="36">
        <f ca="1">(BJ42-DM42)/(DN42-DM42)</f>
        <v>0.70975266184372354</v>
      </c>
      <c r="DM42" s="18">
        <f t="shared" ca="1" si="70"/>
        <v>5.9019663638268289</v>
      </c>
      <c r="DN42" s="18">
        <f t="shared" ca="1" si="71"/>
        <v>5.9414641180167855</v>
      </c>
      <c r="DO42" s="9"/>
      <c r="DP42" s="9"/>
      <c r="DQ42" s="94">
        <v>4.1230330610230815E-3</v>
      </c>
      <c r="DR42" s="94">
        <v>3.8217062241212157E-3</v>
      </c>
      <c r="DS42" s="94">
        <v>2.8206792126324903E-2</v>
      </c>
      <c r="DT42" s="94">
        <f t="shared" ca="1" si="12"/>
        <v>6.7402310904362906E-3</v>
      </c>
      <c r="DU42" s="87">
        <f ca="1">(BJ42-CF42)/(CF42-CE42)</f>
        <v>-0.54810199818662431</v>
      </c>
      <c r="DV42" s="46"/>
      <c r="DW42" s="43">
        <f>_xlfn.STDEV.P(BF42:BI42)</f>
        <v>0.31016124838541659</v>
      </c>
      <c r="DX42" s="76">
        <f ca="1">BO42-$DT$2</f>
        <v>0.22829999999999995</v>
      </c>
      <c r="DY42" s="76">
        <f ca="1">BO42-BP42*100</f>
        <v>3.090000000000015E-2</v>
      </c>
      <c r="DZ42" s="101"/>
      <c r="EA42" s="100">
        <v>-1.9160000000000004</v>
      </c>
      <c r="EB42" s="107">
        <v>5.7714999999999996</v>
      </c>
      <c r="EC42" s="107">
        <v>-0.32840000000000003</v>
      </c>
      <c r="ED42" s="98">
        <f t="shared" ca="1" si="13"/>
        <v>0.1973999999999998</v>
      </c>
      <c r="EE42" s="66"/>
      <c r="EF42" s="66"/>
      <c r="EH42" s="2" t="e" vm="42">
        <v>#VALUE!</v>
      </c>
      <c r="EJ42" s="10" cm="1">
        <f t="array" aca="1" ref="EJ42" ca="1">_FV(EH42,"Ações em circulação",TRUE)</f>
        <v>226428400</v>
      </c>
      <c r="EK42" s="21">
        <f>VLOOKUP(BK42,Fundamentus!A:U,5,FALSE)</f>
        <v>0</v>
      </c>
      <c r="EL42" s="2" t="e">
        <f ca="1">(BJ42*EJ42)/EK42</f>
        <v>#DIV/0!</v>
      </c>
      <c r="EM42" s="20" t="e">
        <v>#DIV/0!</v>
      </c>
      <c r="EN42" s="20" t="e">
        <f t="shared" ca="1" si="14"/>
        <v>#DIV/0!</v>
      </c>
      <c r="EP42" s="19" t="e">
        <f t="shared" ca="1" si="15"/>
        <v>#DIV/0!</v>
      </c>
      <c r="EQ42" s="40" t="str">
        <f>IF(VLOOKUP(BK42,Fundamentus!A:U,3,FALSE)&lt;15,"Bom",IF(VLOOKUP(BK42,Fundamentus!A:U,3,FALSE)&gt;15,"Ruim","n/a"))</f>
        <v>Bom</v>
      </c>
      <c r="ER42" s="36" t="str">
        <f>IF(VLOOKUP(BK42,Fundamentus!A:U,4,FALSE)&lt;1,"Baixo",IF(VLOOKUP(BK42,Fundamentus!A:U,4,FALSE)&lt;1.5,"Moderado",IF(VLOOKUP(BK42,Fundamentus!A:U,4,FALSE)&gt;1.5,"Alto","n/a")))</f>
        <v>Moderado</v>
      </c>
      <c r="ES42" s="20" t="str">
        <f>IF(VLOOKUP(BK42,Fundamentus!A:U,8,FALSE)&lt;0,"Risco elevado",IF(VLOOKUP(BK42,Fundamentus!A:U,8,FALSE)&lt;1,"Saudável",IF(VLOOKUP(BK42,Fundamentus!A:U,8,FALSE)&lt;3,"Estável",IF(VLOOKUP(BK42,Fundamentus!A:U,8,FALSE)&gt;3,"Alerta","n/a"))))</f>
        <v>Saudável</v>
      </c>
      <c r="ET42" s="36" t="str">
        <f t="shared" si="16"/>
        <v>Ruim</v>
      </c>
      <c r="EU42" s="20" t="str">
        <f>IF(VLOOKUP(BK42,Fundamentus!A:U,12,FALSE)&lt;2,"Subvalorizada",IF(VLOOKUP(BK42,Fundamentus!A:U,12,FALSE)&lt;6,"Muita barata",IF(VLOOKUP(BK42,Fundamentus!A:U,12,FALSE)&lt;6,"Barata",IF(VLOOKUP(BK42,Fundamentus!A:U,12,FALSE)&lt;8,"Atrativa",IF(VLOOKUP(BK42,Fundamentus!A:U,12,FALSE)&gt;8,"Supervalorizada","n/a")))))</f>
        <v>Subvalorizada</v>
      </c>
      <c r="EW42" s="20" t="str">
        <f>IF(VLOOKUP(BK42,Fundamentus!A:U,17,FALSE)&lt;0.1,"Fraco retorno",IF(VLOOKUP(BK42,Fundamentus!A:U,17,FALSE)&gt;0.1,"Bom retorno","n/a"))</f>
        <v>Bom retorno</v>
      </c>
      <c r="EX42" s="20" t="str">
        <f>IF(VLOOKUP(BK42,Fundamentus!A:U,16,FALSE)&lt;0.1,"Ineficiente",IF(VLOOKUP(BK42,Fundamentus!A:U,16,FALSE)&gt;0.1,"Eficiente","n/a"))</f>
        <v>Ineficiente</v>
      </c>
      <c r="EY42" s="41" t="str">
        <f>IF(VLOOKUP(BK42,Fundamentus!A:U,16,FALSE)&lt;0.1,"Oper. Ineficiente",IF(VLOOKUP(BK42,Fundamentus!A:U,16,FALSE)&gt;0.1,"Oper.Eficiente","n/a"))</f>
        <v>Oper. Ineficiente</v>
      </c>
      <c r="EZ42" s="42">
        <f>VLOOKUP(BK42,Fundamentus!A:U,14,FALSE)</f>
        <v>0</v>
      </c>
      <c r="FA42" s="20" t="str">
        <f>IF(VLOOKUP(BK42,Fundamentus!A:U,21,FALSE)&lt;0,"Negativo",IF(VLOOKUP(BK42,Fundamentus!A:U,21,FALSE)&lt;0.05,"Fraco",IF(VLOOKUP(BK42,Fundamentus!A:U,21,FALSE)&lt;0.1,"Bom",IF(VLOOKUP(BK42,Fundamentus!A:U,21,FALSE)&gt;0.1,"Muito bom","n/a"))))</f>
        <v>Muito bom</v>
      </c>
      <c r="FC42" s="37" t="str">
        <f>IF(VLOOKUP(BK42,Fundamentus!A:U,15,FALSE)&gt;1,"Bom",IF(VLOOKUP(BK42,Fundamentus!A:U,15,FALSE)&lt;1,"Ruim","n/a"))</f>
        <v>Ruim</v>
      </c>
      <c r="FD42" s="20" t="str">
        <f>IF(VLOOKUP(BK42,Fundamentus!A:U,20,FALSE)&lt;0.5,"Baixa",IF(VLOOKUP(BK42,Fundamentus!A:U,20,FALSE)&lt;1,"Moderada",IF(VLOOKUP(BK42,Fundamentus!A:U,20,FALSE)&lt;2,"Alerta",IF(VLOOKUP(BK42,Fundamentus!A:U,20,FALSE)&gt;2,"Alta","n/a"))))</f>
        <v>Baixa</v>
      </c>
    </row>
    <row r="43" spans="1:160" s="2" customFormat="1" ht="11.25" hidden="1"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8">
        <v>10.61</v>
      </c>
      <c r="BC43" s="62">
        <v>11.12</v>
      </c>
      <c r="BD43" s="62">
        <v>11.08</v>
      </c>
      <c r="BE43" s="62">
        <v>11.07</v>
      </c>
      <c r="BF43" s="62">
        <v>10.87</v>
      </c>
      <c r="BG43" s="81">
        <v>10.73</v>
      </c>
      <c r="BH43" s="62">
        <v>10.87</v>
      </c>
      <c r="BI43" s="62">
        <v>10.8</v>
      </c>
      <c r="BJ43" s="62" cm="1">
        <f t="array" aca="1" ref="BJ43" ca="1">_FV(EH43,"Preço")</f>
        <v>10.88</v>
      </c>
      <c r="BK43" s="83" t="s">
        <v>40</v>
      </c>
      <c r="BL43" s="44" cm="1">
        <f t="array" aca="1" ref="BL43" ca="1">_FV(EH43,"Média de volume",TRUE)</f>
        <v>25306390</v>
      </c>
      <c r="BM43" s="44">
        <v>64400</v>
      </c>
      <c r="BN43" s="44" cm="1">
        <f t="array" aca="1" ref="BN43" ca="1">_FV(EH43,"Volume")</f>
        <v>38700</v>
      </c>
      <c r="BO43" s="32" cm="1">
        <f t="array" aca="1" ref="BO43" ca="1">_FV(EH43,"Beta")</f>
        <v>1.1940999999999999</v>
      </c>
      <c r="BP43" s="86" cm="1">
        <f t="array" aca="1" ref="BP43" ca="1">_FV(EH43,"Variação (%)",TRUE)</f>
        <v>7.4070000000000004E-3</v>
      </c>
      <c r="BQ43" s="48"/>
      <c r="BR43" s="48"/>
      <c r="BT43" s="20" cm="1">
        <f t="array" aca="1" ref="BT43" ca="1">_FV(EH43,"Baixo")</f>
        <v>10.7</v>
      </c>
      <c r="BU43" s="20" cm="1">
        <f t="array" aca="1" ref="BU43" ca="1">_FV(EH43,"Alto")</f>
        <v>10.89</v>
      </c>
      <c r="BV43" s="32"/>
      <c r="BW43" s="73">
        <f ca="1">SQRT(22.5*(BJ43/VLOOKUP(BK43,Fundamentus!A:U,3,FALSE))*(BJ43/VLOOKUP(BK43,Fundamentus!A:U,4,FALSE)))</f>
        <v>15.838316583277898</v>
      </c>
      <c r="BY43" s="72">
        <f t="shared" ca="1" si="0"/>
        <v>7.4074074074074138E-3</v>
      </c>
      <c r="BZ43" s="8"/>
      <c r="CA43" s="71">
        <f t="shared" si="36"/>
        <v>8.74</v>
      </c>
      <c r="CB43" s="71">
        <f t="shared" si="1"/>
        <v>11.18</v>
      </c>
      <c r="CC43" s="71">
        <f t="shared" si="37"/>
        <v>10.129344262295083</v>
      </c>
      <c r="CD43" s="17"/>
      <c r="CE43" s="43">
        <f t="shared" si="19"/>
        <v>10.68391813233756</v>
      </c>
      <c r="CF43" s="18">
        <f>FORECAST("04/07/2025", BF43:BI43, $BF$5:$BI$5)</f>
        <v>10.799999999999997</v>
      </c>
      <c r="CG43" s="43">
        <f t="shared" si="20"/>
        <v>10.916081867662434</v>
      </c>
      <c r="CI43" s="17"/>
      <c r="CJ43" s="20">
        <f>CA43-2*(CB43-CM43)</f>
        <v>6.8600000000000012</v>
      </c>
      <c r="CK43" s="20">
        <f>CM43-(CB43-CA43)</f>
        <v>7.8000000000000007</v>
      </c>
      <c r="CL43" s="20">
        <f>2*CM43-CB43</f>
        <v>9.3000000000000007</v>
      </c>
      <c r="CM43" s="48">
        <f>(CB43+CA43+BI43)/3</f>
        <v>10.24</v>
      </c>
      <c r="CN43" s="20">
        <f>2*CM43-CA43</f>
        <v>11.74</v>
      </c>
      <c r="CO43" s="20">
        <f>CM43+(CB43-CA43)</f>
        <v>12.68</v>
      </c>
      <c r="CP43" s="20">
        <f>CB43+2*(CM43-CA43)</f>
        <v>14.18</v>
      </c>
      <c r="CQ43" s="2" cm="1">
        <f t="array" aca="1" ref="CQ43" ca="1">MAX(_xlfn._xlws.FILTER(CJ43:CP43,CJ43:CP43&lt;BJ43))</f>
        <v>10.24</v>
      </c>
      <c r="CR43" s="2" cm="1">
        <f t="array" aca="1" ref="CR43" ca="1">MIN(_xlfn._xlws.FILTER($CJ43:$CP43,$CJ43:$CP43&gt;BJ43))</f>
        <v>11.74</v>
      </c>
      <c r="CS43" s="19">
        <f t="shared" ca="1" si="55"/>
        <v>0.146484375</v>
      </c>
      <c r="CT43" s="23">
        <f t="shared" ca="1" si="56"/>
        <v>-7.32421875E-2</v>
      </c>
      <c r="CU43" s="23">
        <f t="shared" ca="1" si="57"/>
        <v>-4.8828125E-2</v>
      </c>
      <c r="CV43" s="23">
        <f t="shared" ca="1" si="58"/>
        <v>-2.9296875E-2</v>
      </c>
      <c r="CW43" s="23">
        <f t="shared" ca="1" si="59"/>
        <v>-1.6276041666666668E-2</v>
      </c>
      <c r="CX43" s="23">
        <f t="shared" ca="1" si="60"/>
        <v>-8.6167279411764712E-3</v>
      </c>
      <c r="CY43" s="23">
        <f t="shared" ca="1" si="61"/>
        <v>-4.4389204545454549E-3</v>
      </c>
      <c r="CZ43" s="23">
        <f t="shared" ca="1" si="62"/>
        <v>-2.253605769230769E-3</v>
      </c>
      <c r="DA43" s="24">
        <f t="shared" ca="1" si="63"/>
        <v>2.253605769230769E-3</v>
      </c>
      <c r="DB43" s="24">
        <f t="shared" ca="1" si="64"/>
        <v>4.4389204545454549E-3</v>
      </c>
      <c r="DC43" s="24">
        <f t="shared" ca="1" si="65"/>
        <v>8.6167279411764712E-3</v>
      </c>
      <c r="DD43" s="24">
        <f t="shared" ca="1" si="66"/>
        <v>1.6276041666666668E-2</v>
      </c>
      <c r="DE43" s="24">
        <f t="shared" ca="1" si="67"/>
        <v>2.9296875E-2</v>
      </c>
      <c r="DF43" s="24">
        <f t="shared" ca="1" si="68"/>
        <v>4.8828125E-2</v>
      </c>
      <c r="DG43" s="24">
        <f t="shared" ca="1" si="69"/>
        <v>7.32421875E-2</v>
      </c>
      <c r="DI43" s="19" cm="1">
        <f t="array" aca="1" ref="DI43" ca="1">MAX(_xlfn._xlws.FILTER(CT43:DG43,CT43:DG43&lt;BP43))</f>
        <v>4.4389204545454549E-3</v>
      </c>
      <c r="DJ43" s="19" cm="1">
        <f t="array" aca="1" ref="DJ43" ca="1">MIN(_xlfn._xlws.FILTER(CT43:DG43,CT43:DG43&gt;BP43))</f>
        <v>8.6167279411764712E-3</v>
      </c>
      <c r="DK43" s="2" cm="1">
        <f t="array" aca="1" ref="DK43" ca="1">_FV(EH43,"Fechamento anterior",TRUE)</f>
        <v>10.8</v>
      </c>
      <c r="DL43" s="36">
        <f ca="1">(BJ43-DM43)/(DN43-DM43)</f>
        <v>0.71053703703702353</v>
      </c>
      <c r="DM43" s="18">
        <f t="shared" ca="1" si="70"/>
        <v>10.847940340909092</v>
      </c>
      <c r="DN43" s="18">
        <f t="shared" ca="1" si="71"/>
        <v>10.893060661764707</v>
      </c>
      <c r="DO43" s="9"/>
      <c r="DP43" s="9"/>
      <c r="DQ43" s="94">
        <v>3.6509372979961195E-3</v>
      </c>
      <c r="DR43" s="94">
        <v>6.2042071730653015E-3</v>
      </c>
      <c r="DS43" s="94">
        <v>4.1222124323554137E-3</v>
      </c>
      <c r="DT43" s="94">
        <f t="shared" ca="1" si="12"/>
        <v>4.1778074866310163E-3</v>
      </c>
      <c r="DU43" s="87">
        <f ca="1">(BJ43-CF43)/(CF43-CE43)</f>
        <v>0.68916878760635791</v>
      </c>
      <c r="DV43" s="46"/>
      <c r="DW43" s="43">
        <f>_xlfn.STDEV.P(BF43:BI43)</f>
        <v>5.804093383121893E-2</v>
      </c>
      <c r="DX43" s="76">
        <f ca="1">BO43-$DT$2</f>
        <v>0.19699999999999984</v>
      </c>
      <c r="DY43" s="76">
        <f ca="1">BO43-BP43*100</f>
        <v>0.45339999999999991</v>
      </c>
      <c r="DZ43" s="101"/>
      <c r="EA43" s="100">
        <v>0.39053000000000004</v>
      </c>
      <c r="EB43" s="107">
        <v>0.96669999999999989</v>
      </c>
      <c r="EC43" s="107">
        <v>0.45950000000000002</v>
      </c>
      <c r="ED43" s="98">
        <f t="shared" ca="1" si="13"/>
        <v>-0.25640000000000007</v>
      </c>
      <c r="EE43" s="66"/>
      <c r="EF43" s="66"/>
      <c r="EH43" s="2" t="e" vm="43">
        <v>#VALUE!</v>
      </c>
      <c r="EJ43" s="10" cm="1">
        <f t="array" aca="1" ref="EJ43" ca="1">_FV(EH43,"Ações em circulação",TRUE)</f>
        <v>10993810000</v>
      </c>
      <c r="EK43" s="21">
        <f>VLOOKUP(BK43,Fundamentus!A:U,5,FALSE)</f>
        <v>14.382</v>
      </c>
      <c r="EL43" s="2">
        <f ca="1">(BJ43*EJ43)/EK43</f>
        <v>8316830260.0472822</v>
      </c>
      <c r="EM43" s="20">
        <v>15487650232.790991</v>
      </c>
      <c r="EN43" s="20">
        <f t="shared" ca="1" si="14"/>
        <v>15602373567.848701</v>
      </c>
      <c r="EP43" s="19">
        <f t="shared" ca="1" si="15"/>
        <v>7.4074074074073071E-3</v>
      </c>
      <c r="EQ43" s="40" t="str">
        <f>IF(VLOOKUP(BK43,Fundamentus!A:U,3,FALSE)&lt;15,"Bom",IF(VLOOKUP(BK43,Fundamentus!A:U,3,FALSE)&gt;15,"Ruim","n/a"))</f>
        <v>Bom</v>
      </c>
      <c r="ER43" s="36" t="str">
        <f>IF(VLOOKUP(BK43,Fundamentus!A:U,4,FALSE)&lt;1,"Baixo",IF(VLOOKUP(BK43,Fundamentus!A:U,4,FALSE)&lt;1.5,"Moderado",IF(VLOOKUP(BK43,Fundamentus!A:U,4,FALSE)&gt;1.5,"Alto","n/a")))</f>
        <v>Moderado</v>
      </c>
      <c r="ES43" s="20" t="str">
        <f>IF(VLOOKUP(BK43,Fundamentus!A:U,8,FALSE)&lt;0,"Risco elevado",IF(VLOOKUP(BK43,Fundamentus!A:U,8,FALSE)&lt;1,"Saudável",IF(VLOOKUP(BK43,Fundamentus!A:U,8,FALSE)&lt;3,"Estável",IF(VLOOKUP(BK43,Fundamentus!A:U,8,FALSE)&gt;3,"Alerta","n/a"))))</f>
        <v>Alerta</v>
      </c>
      <c r="ET43" s="36" t="str">
        <f t="shared" si="16"/>
        <v>Bom</v>
      </c>
      <c r="EU43" s="20" t="str">
        <f>IF(VLOOKUP(BK43,Fundamentus!A:U,12,FALSE)&lt;2,"Subvalorizada",IF(VLOOKUP(BK43,Fundamentus!A:U,12,FALSE)&lt;6,"Muita barata",IF(VLOOKUP(BK43,Fundamentus!A:U,12,FALSE)&lt;6,"Barata",IF(VLOOKUP(BK43,Fundamentus!A:U,12,FALSE)&lt;8,"Atrativa",IF(VLOOKUP(BK43,Fundamentus!A:U,12,FALSE)&gt;8,"Supervalorizada","n/a")))))</f>
        <v>Supervalorizada</v>
      </c>
      <c r="EW43" s="20" t="str">
        <f>IF(VLOOKUP(BK43,Fundamentus!A:U,17,FALSE)&lt;0.1,"Fraco retorno",IF(VLOOKUP(BK43,Fundamentus!A:U,17,FALSE)&gt;0.1,"Bom retorno","n/a"))</f>
        <v>Bom retorno</v>
      </c>
      <c r="EX43" s="20" t="str">
        <f>IF(VLOOKUP(BK43,Fundamentus!A:U,16,FALSE)&lt;0.1,"Ineficiente",IF(VLOOKUP(BK43,Fundamentus!A:U,16,FALSE)&gt;0.1,"Eficiente","n/a"))</f>
        <v>Ineficiente</v>
      </c>
      <c r="EY43" s="41" t="str">
        <f>IF(VLOOKUP(BK43,Fundamentus!A:U,16,FALSE)&lt;0.1,"Oper. Ineficiente",IF(VLOOKUP(BK43,Fundamentus!A:U,16,FALSE)&gt;0.1,"Oper.Eficiente","n/a"))</f>
        <v>Oper. Ineficiente</v>
      </c>
      <c r="EZ43" s="42">
        <f>VLOOKUP(BK43,Fundamentus!A:U,14,FALSE)</f>
        <v>1.8759999999999999</v>
      </c>
      <c r="FA43" s="20" t="str">
        <f>IF(VLOOKUP(BK43,Fundamentus!A:U,21,FALSE)&lt;0,"Negativo",IF(VLOOKUP(BK43,Fundamentus!A:U,21,FALSE)&lt;0.05,"Fraco",IF(VLOOKUP(BK43,Fundamentus!A:U,21,FALSE)&lt;0.1,"Bom",IF(VLOOKUP(BK43,Fundamentus!A:U,21,FALSE)&gt;0.1,"Muito bom","n/a"))))</f>
        <v>Fraco</v>
      </c>
      <c r="FC43" s="37" t="str">
        <f>IF(VLOOKUP(BK43,Fundamentus!A:U,15,FALSE)&gt;1,"Bom",IF(VLOOKUP(BK43,Fundamentus!A:U,15,FALSE)&lt;1,"Ruim","n/a"))</f>
        <v>Bom</v>
      </c>
      <c r="FD43" s="20" t="str">
        <f>IF(VLOOKUP(BK43,Fundamentus!A:U,20,FALSE)&lt;0.5,"Baixa",IF(VLOOKUP(BK43,Fundamentus!A:U,20,FALSE)&lt;1,"Moderada",IF(VLOOKUP(BK43,Fundamentus!A:U,20,FALSE)&lt;2,"Alerta",IF(VLOOKUP(BK43,Fundamentus!A:U,20,FALSE)&gt;2,"Alta","n/a"))))</f>
        <v>Baixa</v>
      </c>
    </row>
    <row r="44" spans="1:160" s="2" customFormat="1" ht="11.25" hidden="1"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8">
        <v>1.44</v>
      </c>
      <c r="BC44" s="62">
        <v>1.36</v>
      </c>
      <c r="BD44" s="62">
        <v>1.2</v>
      </c>
      <c r="BE44" s="62">
        <v>1.19</v>
      </c>
      <c r="BF44" s="62">
        <v>1.1399999999999999</v>
      </c>
      <c r="BG44" s="81">
        <v>1.1299999999999999</v>
      </c>
      <c r="BH44" s="62">
        <v>1.1499999999999999</v>
      </c>
      <c r="BI44" s="62">
        <v>1.19</v>
      </c>
      <c r="BJ44" s="62" cm="1">
        <f t="array" aca="1" ref="BJ44" ca="1">_FV(EH44,"Preço")</f>
        <v>1.24</v>
      </c>
      <c r="BK44" s="83" t="s">
        <v>41</v>
      </c>
      <c r="BL44" s="44" cm="1">
        <f t="array" aca="1" ref="BL44" ca="1">_FV(EH44,"Média de volume",TRUE)</f>
        <v>222910</v>
      </c>
      <c r="BM44" s="44">
        <v>116300</v>
      </c>
      <c r="BN44" s="44" cm="1">
        <f t="array" aca="1" ref="BN44" ca="1">_FV(EH44,"Volume")</f>
        <v>214300</v>
      </c>
      <c r="BO44" s="32" cm="1">
        <f t="array" aca="1" ref="BO44" ca="1">_FV(EH44,"Beta")</f>
        <v>2.0627</v>
      </c>
      <c r="BP44" s="86" cm="1">
        <f t="array" aca="1" ref="BP44" ca="1">_FV(EH44,"Variação (%)",TRUE)</f>
        <v>4.2016999999999999E-2</v>
      </c>
      <c r="BQ44" s="48"/>
      <c r="BR44" s="48"/>
      <c r="BT44" s="20" cm="1">
        <f t="array" aca="1" ref="BT44" ca="1">_FV(EH44,"Baixo")</f>
        <v>1.19</v>
      </c>
      <c r="BU44" s="20" cm="1">
        <f t="array" aca="1" ref="BU44" ca="1">_FV(EH44,"Alto")</f>
        <v>1.25</v>
      </c>
      <c r="BV44" s="32"/>
      <c r="BW44" s="73" t="e">
        <f ca="1">SQRT(22.5*(BJ44/VLOOKUP(BK44,Fundamentus!A:U,3,FALSE))*(BJ44/VLOOKUP(BK44,Fundamentus!A:U,4,FALSE)))</f>
        <v>#NUM!</v>
      </c>
      <c r="BY44" s="72">
        <f t="shared" ca="1" si="0"/>
        <v>4.2016806722689114E-2</v>
      </c>
      <c r="BZ44" s="8"/>
      <c r="CA44" s="71">
        <f t="shared" si="36"/>
        <v>0.91</v>
      </c>
      <c r="CB44" s="71">
        <f t="shared" si="1"/>
        <v>1.74</v>
      </c>
      <c r="CC44" s="71">
        <f t="shared" si="37"/>
        <v>1.2673770491803276</v>
      </c>
      <c r="CD44" s="17"/>
      <c r="CE44" s="43">
        <f t="shared" si="19"/>
        <v>1.1494478321042858</v>
      </c>
      <c r="CF44" s="18">
        <f>FORECAST("04/07/2025", BF44:BI44, $BF$5:$BI$5)</f>
        <v>1.1950000000000074</v>
      </c>
      <c r="CG44" s="43">
        <f t="shared" si="20"/>
        <v>1.240552167895729</v>
      </c>
      <c r="CI44" s="17"/>
      <c r="CJ44" s="20">
        <f>CA44-2*(CB44-CM44)</f>
        <v>-9.9999999999998979E-3</v>
      </c>
      <c r="CK44" s="20">
        <f>CM44-(CB44-CA44)</f>
        <v>0.45000000000000007</v>
      </c>
      <c r="CL44" s="20">
        <f>2*CM44-CB44</f>
        <v>0.82000000000000006</v>
      </c>
      <c r="CM44" s="48">
        <f>(CB44+CA44+BI44)/3</f>
        <v>1.28</v>
      </c>
      <c r="CN44" s="20">
        <f>2*CM44-CA44</f>
        <v>1.65</v>
      </c>
      <c r="CO44" s="20">
        <f>CM44+(CB44-CA44)</f>
        <v>2.11</v>
      </c>
      <c r="CP44" s="20">
        <f>CB44+2*(CM44-CA44)</f>
        <v>2.48</v>
      </c>
      <c r="CQ44" s="2" cm="1">
        <f t="array" aca="1" ref="CQ44" ca="1">MAX(_xlfn._xlws.FILTER(CJ44:CP44,CJ44:CP44&lt;BJ44))</f>
        <v>0.82000000000000006</v>
      </c>
      <c r="CR44" s="2" cm="1">
        <f t="array" aca="1" ref="CR44" ca="1">MIN(_xlfn._xlws.FILTER($CJ44:$CP44,$CJ44:$CP44&gt;BJ44))</f>
        <v>1.28</v>
      </c>
      <c r="CS44" s="19">
        <f t="shared" ca="1" si="55"/>
        <v>0.56097560975609739</v>
      </c>
      <c r="CT44" s="23">
        <f t="shared" ca="1" si="56"/>
        <v>-0.2804878048780487</v>
      </c>
      <c r="CU44" s="23">
        <f t="shared" ca="1" si="57"/>
        <v>-0.18699186991869912</v>
      </c>
      <c r="CV44" s="23">
        <f t="shared" ca="1" si="58"/>
        <v>-0.11219512195121947</v>
      </c>
      <c r="CW44" s="23">
        <f t="shared" ca="1" si="59"/>
        <v>-6.2330623306233041E-2</v>
      </c>
      <c r="CX44" s="23">
        <f t="shared" ca="1" si="60"/>
        <v>-3.2998565279770437E-2</v>
      </c>
      <c r="CY44" s="23">
        <f t="shared" ca="1" si="61"/>
        <v>-1.6999260901699922E-2</v>
      </c>
      <c r="CZ44" s="23">
        <f t="shared" ca="1" si="62"/>
        <v>-8.6303939962476522E-3</v>
      </c>
      <c r="DA44" s="24">
        <f t="shared" ca="1" si="63"/>
        <v>8.6303939962476522E-3</v>
      </c>
      <c r="DB44" s="24">
        <f t="shared" ca="1" si="64"/>
        <v>1.6999260901699922E-2</v>
      </c>
      <c r="DC44" s="24">
        <f t="shared" ca="1" si="65"/>
        <v>3.2998565279770437E-2</v>
      </c>
      <c r="DD44" s="24">
        <f t="shared" ca="1" si="66"/>
        <v>6.2330623306233041E-2</v>
      </c>
      <c r="DE44" s="24">
        <f t="shared" ca="1" si="67"/>
        <v>0.11219512195121947</v>
      </c>
      <c r="DF44" s="24">
        <f t="shared" ca="1" si="68"/>
        <v>0.18699186991869912</v>
      </c>
      <c r="DG44" s="24">
        <f t="shared" ca="1" si="69"/>
        <v>0.2804878048780487</v>
      </c>
      <c r="DI44" s="19" cm="1">
        <f t="array" aca="1" ref="DI44" ca="1">MAX(_xlfn._xlws.FILTER(CT44:DG44,CT44:DG44&lt;BP44))</f>
        <v>3.2998565279770437E-2</v>
      </c>
      <c r="DJ44" s="19" cm="1">
        <f t="array" aca="1" ref="DJ44" ca="1">MIN(_xlfn._xlws.FILTER(CT44:DG44,CT44:DG44&gt;BP44))</f>
        <v>6.2330623306233041E-2</v>
      </c>
      <c r="DK44" s="2" cm="1">
        <f t="array" aca="1" ref="DK44" ca="1">_FV(EH44,"Fechamento anterior",TRUE)</f>
        <v>1.19</v>
      </c>
      <c r="DL44" s="36">
        <f ca="1">(BJ44-DM44)/(DN44-DM44)</f>
        <v>0.30745341614906918</v>
      </c>
      <c r="DM44" s="18">
        <f t="shared" ca="1" si="70"/>
        <v>1.2292682926829268</v>
      </c>
      <c r="DN44" s="18">
        <f t="shared" ca="1" si="71"/>
        <v>1.2641734417344173</v>
      </c>
      <c r="DO44" s="9"/>
      <c r="DP44" s="9"/>
      <c r="DQ44" s="94">
        <v>4.5584045584045555E-3</v>
      </c>
      <c r="DR44" s="94">
        <v>8.7145969498910614E-3</v>
      </c>
      <c r="DS44" s="94">
        <v>1.8934911242603551E-2</v>
      </c>
      <c r="DT44" s="94">
        <f t="shared" ca="1" si="12"/>
        <v>2.9332058026462604E-2</v>
      </c>
      <c r="DU44" s="87">
        <f ca="1">(BJ44-CF44)/(CF44-CE44)</f>
        <v>0.98787833990704876</v>
      </c>
      <c r="DV44" s="46"/>
      <c r="DW44" s="43">
        <f>_xlfn.STDEV.P(BF44:BI44)</f>
        <v>2.2776083947860768E-2</v>
      </c>
      <c r="DX44" s="76">
        <f ca="1">BO44-$DT$2</f>
        <v>1.0655999999999999</v>
      </c>
      <c r="DY44" s="76">
        <f ca="1">BO44-BP44*100</f>
        <v>-2.1389999999999998</v>
      </c>
      <c r="DZ44" s="101"/>
      <c r="EA44" s="100">
        <v>-0.55600000000000005</v>
      </c>
      <c r="EB44" s="107">
        <v>0.37980000000000036</v>
      </c>
      <c r="EC44" s="107">
        <v>-0.65240000000000009</v>
      </c>
      <c r="ED44" s="98">
        <f t="shared" ca="1" si="13"/>
        <v>3.2045999999999997</v>
      </c>
      <c r="EE44" s="66"/>
      <c r="EF44" s="66"/>
      <c r="EH44" s="2" t="e" vm="44">
        <v>#VALUE!</v>
      </c>
      <c r="EJ44" s="10" cm="1">
        <f t="array" aca="1" ref="EJ44" ca="1">_FV(EH44,"Ações em circulação",TRUE)</f>
        <v>286676500</v>
      </c>
      <c r="EK44" s="21">
        <f>VLOOKUP(BK44,Fundamentus!A:U,5,FALSE)</f>
        <v>0.14599999999999999</v>
      </c>
      <c r="EL44" s="2">
        <f ca="1">(BJ44*EJ44)/EK44</f>
        <v>2434786712.3287673</v>
      </c>
      <c r="EM44" s="20">
        <v>-91595105.287671223</v>
      </c>
      <c r="EN44" s="20">
        <f t="shared" ca="1" si="14"/>
        <v>-95443639.123287678</v>
      </c>
      <c r="EP44" s="19">
        <f t="shared" ca="1" si="15"/>
        <v>4.2016806722689148E-2</v>
      </c>
      <c r="EQ44" s="40" t="str">
        <f>IF(VLOOKUP(BK44,Fundamentus!A:U,3,FALSE)&lt;15,"Bom",IF(VLOOKUP(BK44,Fundamentus!A:U,3,FALSE)&gt;15,"Ruim","n/a"))</f>
        <v>Bom</v>
      </c>
      <c r="ER44" s="36" t="str">
        <f>IF(VLOOKUP(BK44,Fundamentus!A:U,4,FALSE)&lt;1,"Baixo",IF(VLOOKUP(BK44,Fundamentus!A:U,4,FALSE)&lt;1.5,"Moderado",IF(VLOOKUP(BK44,Fundamentus!A:U,4,FALSE)&gt;1.5,"Alto","n/a")))</f>
        <v>Baixo</v>
      </c>
      <c r="ES44" s="20" t="str">
        <f>IF(VLOOKUP(BK44,Fundamentus!A:U,8,FALSE)&lt;0,"Risco elevado",IF(VLOOKUP(BK44,Fundamentus!A:U,8,FALSE)&lt;1,"Saudável",IF(VLOOKUP(BK44,Fundamentus!A:U,8,FALSE)&lt;3,"Estável",IF(VLOOKUP(BK44,Fundamentus!A:U,8,FALSE)&gt;3,"Alerta","n/a"))))</f>
        <v>Risco elevado</v>
      </c>
      <c r="ET44" s="36" t="str">
        <f t="shared" si="16"/>
        <v>Ruim</v>
      </c>
      <c r="EU44" s="20" t="str">
        <f>IF(VLOOKUP(BK44,Fundamentus!A:U,12,FALSE)&lt;2,"Subvalorizada",IF(VLOOKUP(BK44,Fundamentus!A:U,12,FALSE)&lt;6,"Muita barata",IF(VLOOKUP(BK44,Fundamentus!A:U,12,FALSE)&lt;6,"Barata",IF(VLOOKUP(BK44,Fundamentus!A:U,12,FALSE)&lt;8,"Atrativa",IF(VLOOKUP(BK44,Fundamentus!A:U,12,FALSE)&gt;8,"Supervalorizada","n/a")))))</f>
        <v>Muita barata</v>
      </c>
      <c r="EW44" s="20" t="str">
        <f>IF(VLOOKUP(BK44,Fundamentus!A:U,17,FALSE)&lt;0.1,"Fraco retorno",IF(VLOOKUP(BK44,Fundamentus!A:U,17,FALSE)&gt;0.1,"Bom retorno","n/a"))</f>
        <v>Fraco retorno</v>
      </c>
      <c r="EX44" s="20" t="str">
        <f>IF(VLOOKUP(BK44,Fundamentus!A:U,16,FALSE)&lt;0.1,"Ineficiente",IF(VLOOKUP(BK44,Fundamentus!A:U,16,FALSE)&gt;0.1,"Eficiente","n/a"))</f>
        <v>Ineficiente</v>
      </c>
      <c r="EY44" s="41" t="str">
        <f>IF(VLOOKUP(BK44,Fundamentus!A:U,16,FALSE)&lt;0.1,"Oper. Ineficiente",IF(VLOOKUP(BK44,Fundamentus!A:U,16,FALSE)&gt;0.1,"Oper.Eficiente","n/a"))</f>
        <v>Oper. Ineficiente</v>
      </c>
      <c r="EZ44" s="42">
        <f>VLOOKUP(BK44,Fundamentus!A:U,14,FALSE)</f>
        <v>-3.9199999999999999E-2</v>
      </c>
      <c r="FA44" s="20" t="str">
        <f>IF(VLOOKUP(BK44,Fundamentus!A:U,21,FALSE)&lt;0,"Negativo",IF(VLOOKUP(BK44,Fundamentus!A:U,21,FALSE)&lt;0.05,"Fraco",IF(VLOOKUP(BK44,Fundamentus!A:U,21,FALSE)&lt;0.1,"Bom",IF(VLOOKUP(BK44,Fundamentus!A:U,21,FALSE)&gt;0.1,"Muito bom","n/a"))))</f>
        <v>Muito bom</v>
      </c>
      <c r="FC44" s="37" t="str">
        <f>IF(VLOOKUP(BK44,Fundamentus!A:U,15,FALSE)&gt;1,"Bom",IF(VLOOKUP(BK44,Fundamentus!A:U,15,FALSE)&lt;1,"Ruim","n/a"))</f>
        <v>Ruim</v>
      </c>
      <c r="FD44" s="20" t="str">
        <f>IF(VLOOKUP(BK44,Fundamentus!A:U,20,FALSE)&lt;0.5,"Baixa",IF(VLOOKUP(BK44,Fundamentus!A:U,20,FALSE)&lt;1,"Moderada",IF(VLOOKUP(BK44,Fundamentus!A:U,20,FALSE)&lt;2,"Alerta",IF(VLOOKUP(BK44,Fundamentus!A:U,20,FALSE)&gt;2,"Alta","n/a"))))</f>
        <v>Moderada</v>
      </c>
    </row>
    <row r="45" spans="1:160" s="2" customFormat="1" ht="11.25" hidden="1"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8">
        <v>38.19</v>
      </c>
      <c r="BC45" s="62">
        <v>38.51</v>
      </c>
      <c r="BD45" s="62">
        <v>38.1</v>
      </c>
      <c r="BE45" s="62">
        <v>37.51</v>
      </c>
      <c r="BF45" s="62">
        <v>36.44</v>
      </c>
      <c r="BG45" s="81">
        <v>35.51</v>
      </c>
      <c r="BH45" s="62">
        <v>35.19</v>
      </c>
      <c r="BI45" s="62">
        <v>35.229999999999997</v>
      </c>
      <c r="BJ45" s="62" cm="1">
        <f t="array" aca="1" ref="BJ45" ca="1">_FV(EH45,"Preço")</f>
        <v>35.72</v>
      </c>
      <c r="BK45" s="83" t="s">
        <v>42</v>
      </c>
      <c r="BL45" s="44" cm="1">
        <f t="array" aca="1" ref="BL45" ca="1">_FV(EH45,"Média de volume",TRUE)</f>
        <v>5635670</v>
      </c>
      <c r="BM45" s="44">
        <v>5048100</v>
      </c>
      <c r="BN45" s="44" cm="1">
        <f t="array" aca="1" ref="BN45" ca="1">_FV(EH45,"Volume")</f>
        <v>1931600</v>
      </c>
      <c r="BO45" s="32" cm="1">
        <f t="array" aca="1" ref="BO45" ca="1">_FV(EH45,"Beta")</f>
        <v>0.53580000000000005</v>
      </c>
      <c r="BP45" s="86" cm="1">
        <f t="array" aca="1" ref="BP45" ca="1">_FV(EH45,"Variação (%)",TRUE)</f>
        <v>1.3908999999999999E-2</v>
      </c>
      <c r="BQ45" s="48"/>
      <c r="BR45" s="48"/>
      <c r="BT45" s="20" cm="1">
        <f t="array" aca="1" ref="BT45" ca="1">_FV(EH45,"Baixo")</f>
        <v>35.21</v>
      </c>
      <c r="BU45" s="20" cm="1">
        <f t="array" aca="1" ref="BU45" ca="1">_FV(EH45,"Alto")</f>
        <v>35.799999999999997</v>
      </c>
      <c r="BV45" s="32"/>
      <c r="BW45" s="73">
        <f ca="1">SQRT(22.5*(BJ45/VLOOKUP(BK45,Fundamentus!A:U,3,FALSE))*(BJ45/VLOOKUP(BK45,Fundamentus!A:U,4,FALSE)))</f>
        <v>23.947388188033578</v>
      </c>
      <c r="BY45" s="72">
        <f t="shared" ca="1" si="0"/>
        <v>1.390860062446784E-2</v>
      </c>
      <c r="BZ45" s="8"/>
      <c r="CA45" s="71">
        <f t="shared" si="36"/>
        <v>32.200000000000003</v>
      </c>
      <c r="CB45" s="71">
        <f t="shared" si="1"/>
        <v>42.77</v>
      </c>
      <c r="CC45" s="71">
        <f t="shared" si="37"/>
        <v>36.193770491803292</v>
      </c>
      <c r="CD45" s="17"/>
      <c r="CE45" s="43">
        <f t="shared" si="19"/>
        <v>33.595804776071567</v>
      </c>
      <c r="CF45" s="18">
        <f>FORECAST("04/07/2025", BF45:BI45, $BF$5:$BI$5)</f>
        <v>34.605000000000018</v>
      </c>
      <c r="CG45" s="43">
        <f t="shared" si="20"/>
        <v>35.614195223928469</v>
      </c>
      <c r="CI45" s="17"/>
      <c r="CJ45" s="20">
        <f>CA45-2*(CB45-CM45)</f>
        <v>20.126666666666651</v>
      </c>
      <c r="CK45" s="20">
        <f>CM45-(CB45-CA45)</f>
        <v>26.163333333333327</v>
      </c>
      <c r="CL45" s="20">
        <f>2*CM45-CB45</f>
        <v>30.696666666666651</v>
      </c>
      <c r="CM45" s="48">
        <f>(CB45+CA45+BI45)/3</f>
        <v>36.733333333333327</v>
      </c>
      <c r="CN45" s="20">
        <f>2*CM45-CA45</f>
        <v>41.266666666666652</v>
      </c>
      <c r="CO45" s="20">
        <f>CM45+(CB45-CA45)</f>
        <v>47.303333333333327</v>
      </c>
      <c r="CP45" s="20">
        <f>CB45+2*(CM45-CA45)</f>
        <v>51.836666666666652</v>
      </c>
      <c r="CQ45" s="2" cm="1">
        <f t="array" aca="1" ref="CQ45" ca="1">MAX(_xlfn._xlws.FILTER(CJ45:CP45,CJ45:CP45&lt;BJ45))</f>
        <v>30.696666666666651</v>
      </c>
      <c r="CR45" s="2" cm="1">
        <f t="array" aca="1" ref="CR45" ca="1">MIN(_xlfn._xlws.FILTER($CJ45:$CP45,$CJ45:$CP45&gt;BJ45))</f>
        <v>36.733333333333327</v>
      </c>
      <c r="CS45" s="19">
        <f t="shared" ca="1" si="55"/>
        <v>0.19665544575958349</v>
      </c>
      <c r="CT45" s="23">
        <f t="shared" ca="1" si="56"/>
        <v>-9.8327722879791746E-2</v>
      </c>
      <c r="CU45" s="23">
        <f t="shared" ca="1" si="57"/>
        <v>-6.5551815253194493E-2</v>
      </c>
      <c r="CV45" s="23">
        <f t="shared" ca="1" si="58"/>
        <v>-3.9331089151916701E-2</v>
      </c>
      <c r="CW45" s="23">
        <f t="shared" ca="1" si="59"/>
        <v>-2.1850605084398164E-2</v>
      </c>
      <c r="CX45" s="23">
        <f t="shared" ca="1" si="60"/>
        <v>-1.1567967397622558E-2</v>
      </c>
      <c r="CY45" s="23">
        <f t="shared" ca="1" si="61"/>
        <v>-5.9592559321085909E-3</v>
      </c>
      <c r="CZ45" s="23">
        <f t="shared" ca="1" si="62"/>
        <v>-3.0254683963012847E-3</v>
      </c>
      <c r="DA45" s="24">
        <f t="shared" ca="1" si="63"/>
        <v>3.0254683963012847E-3</v>
      </c>
      <c r="DB45" s="24">
        <f t="shared" ca="1" si="64"/>
        <v>5.9592559321085909E-3</v>
      </c>
      <c r="DC45" s="24">
        <f t="shared" ca="1" si="65"/>
        <v>1.1567967397622558E-2</v>
      </c>
      <c r="DD45" s="24">
        <f t="shared" ca="1" si="66"/>
        <v>2.1850605084398164E-2</v>
      </c>
      <c r="DE45" s="24">
        <f t="shared" ca="1" si="67"/>
        <v>3.9331089151916701E-2</v>
      </c>
      <c r="DF45" s="24">
        <f t="shared" ca="1" si="68"/>
        <v>6.5551815253194493E-2</v>
      </c>
      <c r="DG45" s="24">
        <f t="shared" ca="1" si="69"/>
        <v>9.8327722879791746E-2</v>
      </c>
      <c r="DI45" s="19" cm="1">
        <f t="array" aca="1" ref="DI45" ca="1">MAX(_xlfn._xlws.FILTER(CT45:DG45,CT45:DG45&lt;BP45))</f>
        <v>1.1567967397622558E-2</v>
      </c>
      <c r="DJ45" s="19" cm="1">
        <f t="array" aca="1" ref="DJ45" ca="1">MIN(_xlfn._xlws.FILTER(CT45:DG45,CT45:DG45&gt;BP45))</f>
        <v>2.1850605084398164E-2</v>
      </c>
      <c r="DK45" s="2" cm="1">
        <f t="array" aca="1" ref="DK45" ca="1">_FV(EH45,"Fechamento anterior",TRUE)</f>
        <v>35.229999999999997</v>
      </c>
      <c r="DL45" s="36">
        <f ca="1">(BJ45-DM45)/(DN45-DM45)</f>
        <v>0.22762965088768669</v>
      </c>
      <c r="DM45" s="18">
        <f t="shared" ca="1" si="70"/>
        <v>35.637539491418238</v>
      </c>
      <c r="DN45" s="18">
        <f t="shared" ca="1" si="71"/>
        <v>35.999796817123347</v>
      </c>
      <c r="DO45" s="9"/>
      <c r="DP45" s="9"/>
      <c r="DQ45" s="94">
        <v>5.4368221023065834E-3</v>
      </c>
      <c r="DR45" s="94">
        <v>2.9655393285308641E-3</v>
      </c>
      <c r="DS45" s="94">
        <v>5.4886184469372414E-3</v>
      </c>
      <c r="DT45" s="94">
        <f t="shared" ca="1" si="12"/>
        <v>1.0282637686775606E-2</v>
      </c>
      <c r="DU45" s="87">
        <f ca="1">(BJ45-CF45)/(CF45-CE45)</f>
        <v>1.1048407419722697</v>
      </c>
      <c r="DV45" s="46"/>
      <c r="DW45" s="43">
        <f>_xlfn.STDEV.P(BF45:BI45)</f>
        <v>0.50459761196422648</v>
      </c>
      <c r="DX45" s="76">
        <f ca="1">BO45-$DT$2</f>
        <v>-0.46130000000000004</v>
      </c>
      <c r="DY45" s="76">
        <f ca="1">BO45-BP45*100</f>
        <v>-0.85509999999999997</v>
      </c>
      <c r="DZ45" s="101"/>
      <c r="EA45" s="100">
        <v>-0.53879999999999995</v>
      </c>
      <c r="EB45" s="107">
        <v>0.31279999999999997</v>
      </c>
      <c r="EC45" s="107">
        <v>0.29460000000000008</v>
      </c>
      <c r="ED45" s="98">
        <f t="shared" ca="1" si="13"/>
        <v>0.39379999999999993</v>
      </c>
      <c r="EE45" s="66"/>
      <c r="EF45" s="66"/>
      <c r="EH45" s="2" t="e" vm="45">
        <v>#VALUE!</v>
      </c>
      <c r="EJ45" s="10" cm="1">
        <f t="array" aca="1" ref="EJ45" ca="1">_FV(EH45,"Ações em circulação",TRUE)</f>
        <v>2000000000</v>
      </c>
      <c r="EK45" s="21">
        <f>VLOOKUP(BK45,Fundamentus!A:U,5,FALSE)</f>
        <v>0</v>
      </c>
      <c r="EL45" s="2" t="e">
        <f ca="1">(BJ45*EJ45)/EK45</f>
        <v>#DIV/0!</v>
      </c>
      <c r="EM45" s="20" t="e">
        <v>#DIV/0!</v>
      </c>
      <c r="EN45" s="20" t="e">
        <f t="shared" ca="1" si="14"/>
        <v>#DIV/0!</v>
      </c>
      <c r="EP45" s="19" t="e">
        <f t="shared" ca="1" si="15"/>
        <v>#DIV/0!</v>
      </c>
      <c r="EQ45" s="40" t="str">
        <f>IF(VLOOKUP(BK45,Fundamentus!A:U,3,FALSE)&lt;15,"Bom",IF(VLOOKUP(BK45,Fundamentus!A:U,3,FALSE)&gt;15,"Ruim","n/a"))</f>
        <v>Bom</v>
      </c>
      <c r="ER45" s="36" t="str">
        <f>IF(VLOOKUP(BK45,Fundamentus!A:U,4,FALSE)&lt;1,"Baixo",IF(VLOOKUP(BK45,Fundamentus!A:U,4,FALSE)&lt;1.5,"Moderado",IF(VLOOKUP(BK45,Fundamentus!A:U,4,FALSE)&gt;1.5,"Alto","n/a")))</f>
        <v>Alto</v>
      </c>
      <c r="ES45" s="20" t="str">
        <f>IF(VLOOKUP(BK45,Fundamentus!A:U,8,FALSE)&lt;0,"Risco elevado",IF(VLOOKUP(BK45,Fundamentus!A:U,8,FALSE)&lt;1,"Saudável",IF(VLOOKUP(BK45,Fundamentus!A:U,8,FALSE)&lt;3,"Estável",IF(VLOOKUP(BK45,Fundamentus!A:U,8,FALSE)&gt;3,"Alerta","n/a"))))</f>
        <v>Saudável</v>
      </c>
      <c r="ET45" s="36" t="str">
        <f t="shared" si="16"/>
        <v>Ruim</v>
      </c>
      <c r="EU45" s="20" t="str">
        <f>IF(VLOOKUP(BK45,Fundamentus!A:U,12,FALSE)&lt;2,"Subvalorizada",IF(VLOOKUP(BK45,Fundamentus!A:U,12,FALSE)&lt;6,"Muita barata",IF(VLOOKUP(BK45,Fundamentus!A:U,12,FALSE)&lt;6,"Barata",IF(VLOOKUP(BK45,Fundamentus!A:U,12,FALSE)&lt;8,"Atrativa",IF(VLOOKUP(BK45,Fundamentus!A:U,12,FALSE)&gt;8,"Supervalorizada","n/a")))))</f>
        <v>Subvalorizada</v>
      </c>
      <c r="EW45" s="20" t="str">
        <f>IF(VLOOKUP(BK45,Fundamentus!A:U,17,FALSE)&lt;0.1,"Fraco retorno",IF(VLOOKUP(BK45,Fundamentus!A:U,17,FALSE)&gt;0.1,"Bom retorno","n/a"))</f>
        <v>Bom retorno</v>
      </c>
      <c r="EX45" s="20" t="str">
        <f>IF(VLOOKUP(BK45,Fundamentus!A:U,16,FALSE)&lt;0.1,"Ineficiente",IF(VLOOKUP(BK45,Fundamentus!A:U,16,FALSE)&gt;0.1,"Eficiente","n/a"))</f>
        <v>Ineficiente</v>
      </c>
      <c r="EY45" s="41" t="str">
        <f>IF(VLOOKUP(BK45,Fundamentus!A:U,16,FALSE)&lt;0.1,"Oper. Ineficiente",IF(VLOOKUP(BK45,Fundamentus!A:U,16,FALSE)&gt;0.1,"Oper.Eficiente","n/a"))</f>
        <v>Oper. Ineficiente</v>
      </c>
      <c r="EZ45" s="42">
        <f>VLOOKUP(BK45,Fundamentus!A:U,14,FALSE)</f>
        <v>0</v>
      </c>
      <c r="FA45" s="20" t="str">
        <f>IF(VLOOKUP(BK45,Fundamentus!A:U,21,FALSE)&lt;0,"Negativo",IF(VLOOKUP(BK45,Fundamentus!A:U,21,FALSE)&lt;0.05,"Fraco",IF(VLOOKUP(BK45,Fundamentus!A:U,21,FALSE)&lt;0.1,"Bom",IF(VLOOKUP(BK45,Fundamentus!A:U,21,FALSE)&gt;0.1,"Muito bom","n/a"))))</f>
        <v>Fraco</v>
      </c>
      <c r="FC45" s="37" t="str">
        <f>IF(VLOOKUP(BK45,Fundamentus!A:U,15,FALSE)&gt;1,"Bom",IF(VLOOKUP(BK45,Fundamentus!A:U,15,FALSE)&lt;1,"Ruim","n/a"))</f>
        <v>Ruim</v>
      </c>
      <c r="FD45" s="20" t="str">
        <f>IF(VLOOKUP(BK45,Fundamentus!A:U,20,FALSE)&lt;0.5,"Baixa",IF(VLOOKUP(BK45,Fundamentus!A:U,20,FALSE)&lt;1,"Moderada",IF(VLOOKUP(BK45,Fundamentus!A:U,20,FALSE)&lt;2,"Alerta",IF(VLOOKUP(BK45,Fundamentus!A:U,20,FALSE)&gt;2,"Alta","n/a"))))</f>
        <v>Baixa</v>
      </c>
    </row>
    <row r="46" spans="1:160" s="2" customFormat="1" ht="11.25" hidden="1"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8">
        <v>8.6</v>
      </c>
      <c r="BC46" s="62">
        <v>8.81</v>
      </c>
      <c r="BD46" s="62">
        <v>8.7200000000000006</v>
      </c>
      <c r="BE46" s="62">
        <v>8.57</v>
      </c>
      <c r="BF46" s="62">
        <v>9.25</v>
      </c>
      <c r="BG46" s="81">
        <v>9.2200000000000006</v>
      </c>
      <c r="BH46" s="62">
        <v>9.2799999999999994</v>
      </c>
      <c r="BI46" s="62">
        <v>8.86</v>
      </c>
      <c r="BJ46" s="62" cm="1">
        <f t="array" aca="1" ref="BJ46" ca="1">_FV(EH46,"Preço")</f>
        <v>8.9</v>
      </c>
      <c r="BK46" s="83" t="s">
        <v>43</v>
      </c>
      <c r="BL46" s="44" cm="1">
        <f t="array" aca="1" ref="BL46" ca="1">_FV(EH46,"Média de volume",TRUE)</f>
        <v>5871070</v>
      </c>
      <c r="BM46" s="44">
        <v>19200</v>
      </c>
      <c r="BN46" s="44" cm="1">
        <f t="array" aca="1" ref="BN46" ca="1">_FV(EH46,"Volume")</f>
        <v>32500</v>
      </c>
      <c r="BO46" s="32" cm="1">
        <f t="array" aca="1" ref="BO46" ca="1">_FV(EH46,"Beta")</f>
        <v>0.6946</v>
      </c>
      <c r="BP46" s="86" cm="1">
        <f t="array" aca="1" ref="BP46" ca="1">_FV(EH46,"Variação (%)",TRUE)</f>
        <v>4.5149999999999999E-3</v>
      </c>
      <c r="BQ46" s="48"/>
      <c r="BR46" s="48"/>
      <c r="BT46" s="20" cm="1">
        <f t="array" aca="1" ref="BT46" ca="1">_FV(EH46,"Baixo")</f>
        <v>8.7200000000000006</v>
      </c>
      <c r="BU46" s="20" cm="1">
        <f t="array" aca="1" ref="BU46" ca="1">_FV(EH46,"Alto")</f>
        <v>8.98</v>
      </c>
      <c r="BV46" s="32"/>
      <c r="BW46" s="73">
        <f ca="1">SQRT(22.5*(BJ46/VLOOKUP(BK46,Fundamentus!A:U,3,FALSE))*(BJ46/VLOOKUP(BK46,Fundamentus!A:U,4,FALSE)))</f>
        <v>21.504304972029363</v>
      </c>
      <c r="BY46" s="72">
        <f t="shared" ca="1" si="0"/>
        <v>4.5146726862303529E-3</v>
      </c>
      <c r="BZ46" s="8"/>
      <c r="CA46" s="71">
        <f t="shared" si="36"/>
        <v>8.5</v>
      </c>
      <c r="CB46" s="71">
        <f t="shared" si="1"/>
        <v>11.46</v>
      </c>
      <c r="CC46" s="71">
        <f t="shared" si="37"/>
        <v>10.067295081967211</v>
      </c>
      <c r="CD46" s="17"/>
      <c r="CE46" s="43">
        <f t="shared" si="19"/>
        <v>8.5345958284626935</v>
      </c>
      <c r="CF46" s="18">
        <f>FORECAST("04/07/2025", BF46:BI46, $BF$5:$BI$5)</f>
        <v>8.875</v>
      </c>
      <c r="CG46" s="43">
        <f t="shared" si="20"/>
        <v>9.2154041715373065</v>
      </c>
      <c r="CI46" s="17"/>
      <c r="CJ46" s="20">
        <f>CA46-2*(CB46-CM46)</f>
        <v>4.793333333333333</v>
      </c>
      <c r="CK46" s="20">
        <f>CM46-(CB46-CA46)</f>
        <v>6.6466666666666665</v>
      </c>
      <c r="CL46" s="20">
        <f>2*CM46-CB46</f>
        <v>7.7533333333333339</v>
      </c>
      <c r="CM46" s="48">
        <f>(CB46+CA46+BI46)/3</f>
        <v>9.6066666666666674</v>
      </c>
      <c r="CN46" s="20">
        <f>2*CM46-CA46</f>
        <v>10.713333333333335</v>
      </c>
      <c r="CO46" s="20">
        <f>CM46+(CB46-CA46)</f>
        <v>12.566666666666668</v>
      </c>
      <c r="CP46" s="20">
        <f>CB46+2*(CM46-CA46)</f>
        <v>13.673333333333336</v>
      </c>
      <c r="CQ46" s="2" cm="1">
        <f t="array" aca="1" ref="CQ46" ca="1">MAX(_xlfn._xlws.FILTER(CJ46:CP46,CJ46:CP46&lt;BJ46))</f>
        <v>7.7533333333333339</v>
      </c>
      <c r="CR46" s="2" cm="1">
        <f t="array" aca="1" ref="CR46" ca="1">MIN(_xlfn._xlws.FILTER($CJ46:$CP46,$CJ46:$CP46&gt;BJ46))</f>
        <v>9.6066666666666674</v>
      </c>
      <c r="CS46" s="19">
        <f t="shared" ca="1" si="55"/>
        <v>0.2390369733447979</v>
      </c>
      <c r="CT46" s="23">
        <f t="shared" ca="1" si="56"/>
        <v>-0.11951848667239895</v>
      </c>
      <c r="CU46" s="23">
        <f t="shared" ca="1" si="57"/>
        <v>-7.9678991114932637E-2</v>
      </c>
      <c r="CV46" s="23">
        <f t="shared" ca="1" si="58"/>
        <v>-4.7807394668959578E-2</v>
      </c>
      <c r="CW46" s="23">
        <f t="shared" ca="1" si="59"/>
        <v>-2.6559663704977546E-2</v>
      </c>
      <c r="CX46" s="23">
        <f t="shared" ca="1" si="60"/>
        <v>-1.4060998432046935E-2</v>
      </c>
      <c r="CY46" s="23">
        <f t="shared" ca="1" si="61"/>
        <v>-7.2435446468120572E-3</v>
      </c>
      <c r="CZ46" s="23">
        <f t="shared" ca="1" si="62"/>
        <v>-3.6774918976122755E-3</v>
      </c>
      <c r="DA46" s="24">
        <f t="shared" ca="1" si="63"/>
        <v>3.6774918976122755E-3</v>
      </c>
      <c r="DB46" s="24">
        <f t="shared" ca="1" si="64"/>
        <v>7.2435446468120572E-3</v>
      </c>
      <c r="DC46" s="24">
        <f t="shared" ca="1" si="65"/>
        <v>1.4060998432046935E-2</v>
      </c>
      <c r="DD46" s="24">
        <f t="shared" ca="1" si="66"/>
        <v>2.6559663704977546E-2</v>
      </c>
      <c r="DE46" s="24">
        <f t="shared" ca="1" si="67"/>
        <v>4.7807394668959578E-2</v>
      </c>
      <c r="DF46" s="24">
        <f t="shared" ca="1" si="68"/>
        <v>7.9678991114932637E-2</v>
      </c>
      <c r="DG46" s="24">
        <f t="shared" ca="1" si="69"/>
        <v>0.11951848667239895</v>
      </c>
      <c r="DI46" s="19" cm="1">
        <f t="array" aca="1" ref="DI46" ca="1">MAX(_xlfn._xlws.FILTER(CT46:DG46,CT46:DG46&lt;BP46))</f>
        <v>3.6774918976122755E-3</v>
      </c>
      <c r="DJ46" s="19" cm="1">
        <f t="array" aca="1" ref="DJ46" ca="1">MIN(_xlfn._xlws.FILTER(CT46:DG46,CT46:DG46&gt;BP46))</f>
        <v>7.2435446468120572E-3</v>
      </c>
      <c r="DK46" s="2" cm="1">
        <f t="array" aca="1" ref="DK46" ca="1">_FV(EH46,"Fechamento anterior",TRUE)</f>
        <v>8.86</v>
      </c>
      <c r="DL46" s="36">
        <f ca="1">(BJ46-DM46)/(DN46-DM46)</f>
        <v>0.23476399467338033</v>
      </c>
      <c r="DM46" s="18">
        <f t="shared" ca="1" si="70"/>
        <v>8.8925825782128438</v>
      </c>
      <c r="DN46" s="18">
        <f t="shared" ca="1" si="71"/>
        <v>8.9241778055707535</v>
      </c>
      <c r="DO46" s="9"/>
      <c r="DP46" s="9"/>
      <c r="DQ46" s="94">
        <v>1.3526671447645371E-2</v>
      </c>
      <c r="DR46" s="94">
        <v>1.3526671447645371E-2</v>
      </c>
      <c r="DS46" s="94">
        <v>3.2350190815578659E-3</v>
      </c>
      <c r="DT46" s="94">
        <f t="shared" ca="1" si="12"/>
        <v>3.5660527491997818E-3</v>
      </c>
      <c r="DU46" s="87">
        <f ca="1">(BJ46-CF46)/(CF46-CE46)</f>
        <v>7.3442108206539666E-2</v>
      </c>
      <c r="DV46" s="46"/>
      <c r="DW46" s="43">
        <f>_xlfn.STDEV.P(BF46:BI46)</f>
        <v>0.17020208576865345</v>
      </c>
      <c r="DX46" s="76">
        <f ca="1">BO46-$DT$2</f>
        <v>-0.3025000000000001</v>
      </c>
      <c r="DY46" s="76">
        <f ca="1">BO46-BP46*100</f>
        <v>0.24309999999999998</v>
      </c>
      <c r="DZ46" s="101"/>
      <c r="EA46" s="100">
        <v>-1.7333999999999996</v>
      </c>
      <c r="EB46" s="107">
        <v>2.5519000000000003</v>
      </c>
      <c r="EC46" s="107">
        <v>-1.9185000000000001</v>
      </c>
      <c r="ED46" s="98">
        <f t="shared" ca="1" si="13"/>
        <v>-0.54560000000000008</v>
      </c>
      <c r="EE46" s="66"/>
      <c r="EF46" s="66"/>
      <c r="EH46" s="2" t="e" vm="46">
        <v>#VALUE!</v>
      </c>
      <c r="EJ46" s="10" cm="1">
        <f t="array" aca="1" ref="EJ46" ca="1">_FV(EH46,"Ações em circulação",TRUE)</f>
        <v>993705800</v>
      </c>
      <c r="EK46" s="21">
        <f>VLOOKUP(BK46,Fundamentus!A:U,5,FALSE)</f>
        <v>0.13400000000000001</v>
      </c>
      <c r="EL46" s="2">
        <f ca="1">(BJ46*EJ46)/EK46</f>
        <v>65999862835.820892</v>
      </c>
      <c r="EM46" s="20">
        <v>3193177184.00597</v>
      </c>
      <c r="EN46" s="20">
        <f t="shared" ca="1" si="14"/>
        <v>3207593333.8208952</v>
      </c>
      <c r="EP46" s="19">
        <f t="shared" ca="1" si="15"/>
        <v>4.5146726862301811E-3</v>
      </c>
      <c r="EQ46" s="40" t="str">
        <f>IF(VLOOKUP(BK46,Fundamentus!A:U,3,FALSE)&lt;15,"Bom",IF(VLOOKUP(BK46,Fundamentus!A:U,3,FALSE)&gt;15,"Ruim","n/a"))</f>
        <v>Bom</v>
      </c>
      <c r="ER46" s="36" t="str">
        <f>IF(VLOOKUP(BK46,Fundamentus!A:U,4,FALSE)&lt;1,"Baixo",IF(VLOOKUP(BK46,Fundamentus!A:U,4,FALSE)&lt;1.5,"Moderado",IF(VLOOKUP(BK46,Fundamentus!A:U,4,FALSE)&gt;1.5,"Alto","n/a")))</f>
        <v>Baixo</v>
      </c>
      <c r="ES46" s="20" t="str">
        <f>IF(VLOOKUP(BK46,Fundamentus!A:U,8,FALSE)&lt;0,"Risco elevado",IF(VLOOKUP(BK46,Fundamentus!A:U,8,FALSE)&lt;1,"Saudável",IF(VLOOKUP(BK46,Fundamentus!A:U,8,FALSE)&lt;3,"Estável",IF(VLOOKUP(BK46,Fundamentus!A:U,8,FALSE)&gt;3,"Alerta","n/a"))))</f>
        <v>Saudável</v>
      </c>
      <c r="ET46" s="36" t="str">
        <f t="shared" si="16"/>
        <v>Ruim</v>
      </c>
      <c r="EU46" s="20" t="str">
        <f>IF(VLOOKUP(BK46,Fundamentus!A:U,12,FALSE)&lt;2,"Subvalorizada",IF(VLOOKUP(BK46,Fundamentus!A:U,12,FALSE)&lt;6,"Muita barata",IF(VLOOKUP(BK46,Fundamentus!A:U,12,FALSE)&lt;6,"Barata",IF(VLOOKUP(BK46,Fundamentus!A:U,12,FALSE)&lt;8,"Atrativa",IF(VLOOKUP(BK46,Fundamentus!A:U,12,FALSE)&gt;8,"Supervalorizada","n/a")))))</f>
        <v>Subvalorizada</v>
      </c>
      <c r="EW46" s="20" t="str">
        <f>IF(VLOOKUP(BK46,Fundamentus!A:U,17,FALSE)&lt;0.1,"Fraco retorno",IF(VLOOKUP(BK46,Fundamentus!A:U,17,FALSE)&gt;0.1,"Bom retorno","n/a"))</f>
        <v>Fraco retorno</v>
      </c>
      <c r="EX46" s="20" t="str">
        <f>IF(VLOOKUP(BK46,Fundamentus!A:U,16,FALSE)&lt;0.1,"Ineficiente",IF(VLOOKUP(BK46,Fundamentus!A:U,16,FALSE)&gt;0.1,"Eficiente","n/a"))</f>
        <v>Ineficiente</v>
      </c>
      <c r="EY46" s="41" t="str">
        <f>IF(VLOOKUP(BK46,Fundamentus!A:U,16,FALSE)&lt;0.1,"Oper. Ineficiente",IF(VLOOKUP(BK46,Fundamentus!A:U,16,FALSE)&gt;0.1,"Oper.Eficiente","n/a"))</f>
        <v>Oper. Ineficiente</v>
      </c>
      <c r="EZ46" s="42">
        <f>VLOOKUP(BK46,Fundamentus!A:U,14,FALSE)</f>
        <v>4.8599999999999997E-2</v>
      </c>
      <c r="FA46" s="20" t="str">
        <f>IF(VLOOKUP(BK46,Fundamentus!A:U,21,FALSE)&lt;0,"Negativo",IF(VLOOKUP(BK46,Fundamentus!A:U,21,FALSE)&lt;0.05,"Fraco",IF(VLOOKUP(BK46,Fundamentus!A:U,21,FALSE)&lt;0.1,"Bom",IF(VLOOKUP(BK46,Fundamentus!A:U,21,FALSE)&gt;0.1,"Muito bom","n/a"))))</f>
        <v>Fraco</v>
      </c>
      <c r="FC46" s="37" t="str">
        <f>IF(VLOOKUP(BK46,Fundamentus!A:U,15,FALSE)&gt;1,"Bom",IF(VLOOKUP(BK46,Fundamentus!A:U,15,FALSE)&lt;1,"Ruim","n/a"))</f>
        <v>Bom</v>
      </c>
      <c r="FD46" s="20" t="str">
        <f>IF(VLOOKUP(BK46,Fundamentus!A:U,20,FALSE)&lt;0.5,"Baixa",IF(VLOOKUP(BK46,Fundamentus!A:U,20,FALSE)&lt;1,"Moderada",IF(VLOOKUP(BK46,Fundamentus!A:U,20,FALSE)&lt;2,"Alerta",IF(VLOOKUP(BK46,Fundamentus!A:U,20,FALSE)&gt;2,"Alta","n/a"))))</f>
        <v>Moderada</v>
      </c>
    </row>
    <row r="47" spans="1:160" s="5" customFormat="1" ht="11.25" hidden="1"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8">
        <v>35.32</v>
      </c>
      <c r="BC47" s="62">
        <v>37.68</v>
      </c>
      <c r="BD47" s="62">
        <v>37.72</v>
      </c>
      <c r="BE47" s="62">
        <v>37.43</v>
      </c>
      <c r="BF47" s="62">
        <v>36.58</v>
      </c>
      <c r="BG47" s="81">
        <v>36.17</v>
      </c>
      <c r="BH47" s="62">
        <v>36.64</v>
      </c>
      <c r="BI47" s="62">
        <v>36.270000000000003</v>
      </c>
      <c r="BJ47" s="62" cm="1">
        <f t="array" aca="1" ref="BJ47" ca="1">_FV(EH47,"Preço")</f>
        <v>36.57</v>
      </c>
      <c r="BK47" s="83" t="s">
        <v>44</v>
      </c>
      <c r="BL47" s="44" cm="1">
        <f t="array" aca="1" ref="BL47" ca="1">_FV(EH47,"Média de volume",TRUE)</f>
        <v>18297220</v>
      </c>
      <c r="BM47" s="44">
        <v>13803900</v>
      </c>
      <c r="BN47" s="44" cm="1">
        <f t="array" aca="1" ref="BN47" ca="1">_FV(EH47,"Volume")</f>
        <v>14116900</v>
      </c>
      <c r="BO47" s="32" cm="1">
        <f t="array" aca="1" ref="BO47" ca="1">_FV(EH47,"Beta")</f>
        <v>1.2446999999999999</v>
      </c>
      <c r="BP47" s="86" cm="1">
        <f t="array" aca="1" ref="BP47" ca="1">_FV(EH47,"Variação (%)",TRUE)</f>
        <v>8.2709999999999988E-3</v>
      </c>
      <c r="BQ47" s="48"/>
      <c r="BR47" s="48"/>
      <c r="BT47" s="20" cm="1">
        <f t="array" aca="1" ref="BT47" ca="1">_FV(EH47,"Baixo")</f>
        <v>35.92</v>
      </c>
      <c r="BU47" s="20" cm="1">
        <f t="array" aca="1" ref="BU47" ca="1">_FV(EH47,"Alto")</f>
        <v>36.729999999999997</v>
      </c>
      <c r="BV47" s="32"/>
      <c r="BW47" s="73">
        <f ca="1">SQRT(22.5*(BJ47/VLOOKUP(BK47,Fundamentus!A:U,3,FALSE))*(BJ47/VLOOKUP(BK47,Fundamentus!A:U,4,FALSE)))</f>
        <v>38.886655564654447</v>
      </c>
      <c r="BY47" s="72">
        <f t="shared" ca="1" si="0"/>
        <v>8.2712985938791592E-3</v>
      </c>
      <c r="BZ47" s="8"/>
      <c r="CA47" s="71">
        <f t="shared" si="36"/>
        <v>29.82</v>
      </c>
      <c r="CB47" s="71">
        <f t="shared" si="1"/>
        <v>37.72</v>
      </c>
      <c r="CC47" s="71">
        <f t="shared" si="37"/>
        <v>33.87491803278688</v>
      </c>
      <c r="CD47" s="17"/>
      <c r="CE47" s="43">
        <f t="shared" si="19"/>
        <v>35.90137737144012</v>
      </c>
      <c r="CF47" s="18">
        <f>FORECAST("04/07/2025", BF47:BI47, $BF$5:$BI$5)</f>
        <v>36.300000000000011</v>
      </c>
      <c r="CG47" s="43">
        <f t="shared" si="20"/>
        <v>36.698622628559903</v>
      </c>
      <c r="CI47" s="17"/>
      <c r="CJ47" s="20">
        <f>CA47-2*(CB47-CM47)</f>
        <v>23.586666666666666</v>
      </c>
      <c r="CK47" s="20">
        <f>CM47-(CB47-CA47)</f>
        <v>26.703333333333333</v>
      </c>
      <c r="CL47" s="20">
        <f>2*CM47-CB47</f>
        <v>31.486666666666665</v>
      </c>
      <c r="CM47" s="48">
        <f>(CB47+CA47+BI47)/3</f>
        <v>34.603333333333332</v>
      </c>
      <c r="CN47" s="20">
        <f>2*CM47-CA47</f>
        <v>39.386666666666663</v>
      </c>
      <c r="CO47" s="20">
        <f>CM47+(CB47-CA47)</f>
        <v>42.50333333333333</v>
      </c>
      <c r="CP47" s="20">
        <f>CB47+2*(CM47-CA47)</f>
        <v>47.286666666666662</v>
      </c>
      <c r="CQ47" s="2" cm="1">
        <f t="array" aca="1" ref="CQ47" ca="1">MAX(_xlfn._xlws.FILTER(CJ47:CP47,CJ47:CP47&lt;BJ47))</f>
        <v>34.603333333333332</v>
      </c>
      <c r="CR47" s="2" cm="1">
        <f t="array" aca="1" ref="CR47" ca="1">MIN(_xlfn._xlws.FILTER($CJ47:$CP47,$CJ47:$CP47&gt;BJ47))</f>
        <v>39.386666666666663</v>
      </c>
      <c r="CS47" s="19">
        <f t="shared" ca="1" si="55"/>
        <v>0.13823331085637225</v>
      </c>
      <c r="CT47" s="23">
        <f t="shared" ca="1" si="56"/>
        <v>-6.9116655428186125E-2</v>
      </c>
      <c r="CU47" s="23">
        <f t="shared" ca="1" si="57"/>
        <v>-4.6077770285457419E-2</v>
      </c>
      <c r="CV47" s="23">
        <f t="shared" ca="1" si="58"/>
        <v>-2.7646662171274448E-2</v>
      </c>
      <c r="CW47" s="23">
        <f t="shared" ca="1" si="59"/>
        <v>-1.5359256761819139E-2</v>
      </c>
      <c r="CX47" s="23">
        <f t="shared" ca="1" si="60"/>
        <v>-8.1313712268454262E-3</v>
      </c>
      <c r="CY47" s="23">
        <f t="shared" ca="1" si="61"/>
        <v>-4.1888882077688559E-3</v>
      </c>
      <c r="CZ47" s="23">
        <f t="shared" ca="1" si="62"/>
        <v>-2.1266663208672652E-3</v>
      </c>
      <c r="DA47" s="24">
        <f t="shared" ca="1" si="63"/>
        <v>2.1266663208672652E-3</v>
      </c>
      <c r="DB47" s="24">
        <f t="shared" ca="1" si="64"/>
        <v>4.1888882077688559E-3</v>
      </c>
      <c r="DC47" s="24">
        <f t="shared" ca="1" si="65"/>
        <v>8.1313712268454262E-3</v>
      </c>
      <c r="DD47" s="24">
        <f t="shared" ca="1" si="66"/>
        <v>1.5359256761819139E-2</v>
      </c>
      <c r="DE47" s="24">
        <f t="shared" ca="1" si="67"/>
        <v>2.7646662171274448E-2</v>
      </c>
      <c r="DF47" s="24">
        <f t="shared" ca="1" si="68"/>
        <v>4.6077770285457419E-2</v>
      </c>
      <c r="DG47" s="24">
        <f t="shared" ca="1" si="69"/>
        <v>6.9116655428186125E-2</v>
      </c>
      <c r="DI47" s="19" cm="1">
        <f t="array" aca="1" ref="DI47" ca="1">MAX(_xlfn._xlws.FILTER(CT47:DG47,CT47:DG47&lt;BP47))</f>
        <v>8.1313712268454262E-3</v>
      </c>
      <c r="DJ47" s="19" cm="1">
        <f t="array" aca="1" ref="DJ47" ca="1">MIN(_xlfn._xlws.FILTER(CT47:DG47,CT47:DG47&gt;BP47))</f>
        <v>1.5359256761819139E-2</v>
      </c>
      <c r="DK47" s="2" cm="1">
        <f t="array" aca="1" ref="DK47" ca="1">_FV(EH47,"Fechamento anterior",TRUE)</f>
        <v>36.270000000000003</v>
      </c>
      <c r="DL47" s="36">
        <f ca="1">(BJ47-DM47)/(DN47-DM47)</f>
        <v>1.9359377836944174E-2</v>
      </c>
      <c r="DM47" s="18">
        <f t="shared" ca="1" si="70"/>
        <v>36.564924834397686</v>
      </c>
      <c r="DN47" s="18">
        <f t="shared" ca="1" si="71"/>
        <v>36.827080242751187</v>
      </c>
      <c r="DO47" s="9"/>
      <c r="DP47" s="9"/>
      <c r="DQ47" s="94">
        <v>3.7531637604351692E-3</v>
      </c>
      <c r="DR47" s="94">
        <v>1.537610841801736E-3</v>
      </c>
      <c r="DS47" s="94">
        <v>7.1844377515734841E-3</v>
      </c>
      <c r="DT47" s="94">
        <f t="shared" ca="1" si="12"/>
        <v>7.2278855349737128E-3</v>
      </c>
      <c r="DU47" s="87">
        <f ca="1">(BJ47-CF47)/(CF47-CE47)</f>
        <v>0.67733234557059852</v>
      </c>
      <c r="DV47" s="46"/>
      <c r="DW47" s="43">
        <f>_xlfn.STDEV.P(BF47:BI47)</f>
        <v>0.19931131427994622</v>
      </c>
      <c r="DX47" s="76">
        <f ca="1">BO47-$DT$2</f>
        <v>0.24759999999999982</v>
      </c>
      <c r="DY47" s="76">
        <f ca="1">BO47-BP47*100</f>
        <v>0.41760000000000008</v>
      </c>
      <c r="DZ47" s="101"/>
      <c r="EA47" s="100">
        <v>0.89600000000000002</v>
      </c>
      <c r="EB47" s="107">
        <v>0.13529999999999998</v>
      </c>
      <c r="EC47" s="107">
        <v>7.0699999999999985E-2</v>
      </c>
      <c r="ED47" s="98">
        <f t="shared" ca="1" si="13"/>
        <v>-0.17000000000000026</v>
      </c>
      <c r="EE47" s="66"/>
      <c r="EF47" s="66"/>
      <c r="EH47" s="5" t="e" vm="47">
        <v>#VALUE!</v>
      </c>
      <c r="EJ47" s="10" cm="1">
        <f t="array" aca="1" ref="EJ47" ca="1">_FV(EH47,"Ações em circulação",TRUE)</f>
        <v>10784550000</v>
      </c>
      <c r="EK47" s="21">
        <f>VLOOKUP(BK47,Fundamentus!A:U,5,FALSE)</f>
        <v>0</v>
      </c>
      <c r="EL47" s="2" t="e">
        <f ca="1">(BJ47*EJ47)/EK47</f>
        <v>#DIV/0!</v>
      </c>
      <c r="EM47" s="20" t="e">
        <v>#DIV/0!</v>
      </c>
      <c r="EN47" s="20" t="e">
        <f t="shared" ca="1" si="14"/>
        <v>#DIV/0!</v>
      </c>
      <c r="EO47" s="2"/>
      <c r="EP47" s="19" t="e">
        <f t="shared" ca="1" si="15"/>
        <v>#DIV/0!</v>
      </c>
      <c r="EQ47" s="40" t="str">
        <f>IF(VLOOKUP(BK47,Fundamentus!A:U,3,FALSE)&lt;15,"Bom",IF(VLOOKUP(BK47,Fundamentus!A:U,3,FALSE)&gt;15,"Ruim","n/a"))</f>
        <v>Bom</v>
      </c>
      <c r="ER47" s="36" t="str">
        <f>IF(VLOOKUP(BK47,Fundamentus!A:U,4,FALSE)&lt;1,"Baixo",IF(VLOOKUP(BK47,Fundamentus!A:U,4,FALSE)&lt;1.5,"Moderado",IF(VLOOKUP(BK47,Fundamentus!A:U,4,FALSE)&gt;1.5,"Alto","n/a")))</f>
        <v>Alto</v>
      </c>
      <c r="ES47" s="20" t="str">
        <f>IF(VLOOKUP(BK47,Fundamentus!A:U,8,FALSE)&lt;0,"Risco elevado",IF(VLOOKUP(BK47,Fundamentus!A:U,8,FALSE)&lt;1,"Saudável",IF(VLOOKUP(BK47,Fundamentus!A:U,8,FALSE)&lt;3,"Estável",IF(VLOOKUP(BK47,Fundamentus!A:U,8,FALSE)&gt;3,"Alerta","n/a"))))</f>
        <v>Saudável</v>
      </c>
      <c r="ET47" s="36" t="str">
        <f t="shared" si="16"/>
        <v>Ruim</v>
      </c>
      <c r="EU47" s="20" t="str">
        <f>IF(VLOOKUP(BK47,Fundamentus!A:U,12,FALSE)&lt;2,"Subvalorizada",IF(VLOOKUP(BK47,Fundamentus!A:U,12,FALSE)&lt;6,"Muita barata",IF(VLOOKUP(BK47,Fundamentus!A:U,12,FALSE)&lt;6,"Barata",IF(VLOOKUP(BK47,Fundamentus!A:U,12,FALSE)&lt;8,"Atrativa",IF(VLOOKUP(BK47,Fundamentus!A:U,12,FALSE)&gt;8,"Supervalorizada","n/a")))))</f>
        <v>Subvalorizada</v>
      </c>
      <c r="EV47" s="2"/>
      <c r="EW47" s="20" t="str">
        <f>IF(VLOOKUP(BK47,Fundamentus!A:U,17,FALSE)&lt;0.1,"Fraco retorno",IF(VLOOKUP(BK47,Fundamentus!A:U,17,FALSE)&gt;0.1,"Bom retorno","n/a"))</f>
        <v>Bom retorno</v>
      </c>
      <c r="EX47" s="20" t="str">
        <f>IF(VLOOKUP(BK47,Fundamentus!A:U,16,FALSE)&lt;0.1,"Ineficiente",IF(VLOOKUP(BK47,Fundamentus!A:U,16,FALSE)&gt;0.1,"Eficiente","n/a"))</f>
        <v>Ineficiente</v>
      </c>
      <c r="EY47" s="41" t="str">
        <f>IF(VLOOKUP(BK47,Fundamentus!A:U,16,FALSE)&lt;0.1,"Oper. Ineficiente",IF(VLOOKUP(BK47,Fundamentus!A:U,16,FALSE)&gt;0.1,"Oper.Eficiente","n/a"))</f>
        <v>Oper. Ineficiente</v>
      </c>
      <c r="EZ47" s="42">
        <f>VLOOKUP(BK47,Fundamentus!A:U,14,FALSE)</f>
        <v>0</v>
      </c>
      <c r="FA47" s="20" t="str">
        <f>IF(VLOOKUP(BK47,Fundamentus!A:U,21,FALSE)&lt;0,"Negativo",IF(VLOOKUP(BK47,Fundamentus!A:U,21,FALSE)&lt;0.05,"Fraco",IF(VLOOKUP(BK47,Fundamentus!A:U,21,FALSE)&lt;0.1,"Bom",IF(VLOOKUP(BK47,Fundamentus!A:U,21,FALSE)&gt;0.1,"Muito bom","n/a"))))</f>
        <v>Muito bom</v>
      </c>
      <c r="FC47" s="37" t="str">
        <f>IF(VLOOKUP(BK47,Fundamentus!A:U,15,FALSE)&gt;1,"Bom",IF(VLOOKUP(BK47,Fundamentus!A:U,15,FALSE)&lt;1,"Ruim","n/a"))</f>
        <v>Ruim</v>
      </c>
      <c r="FD47" s="20" t="str">
        <f>IF(VLOOKUP(BK47,Fundamentus!A:U,20,FALSE)&lt;0.5,"Baixa",IF(VLOOKUP(BK47,Fundamentus!A:U,20,FALSE)&lt;1,"Moderada",IF(VLOOKUP(BK47,Fundamentus!A:U,20,FALSE)&lt;2,"Alerta",IF(VLOOKUP(BK47,Fundamentus!A:U,20,FALSE)&gt;2,"Alta","n/a"))))</f>
        <v>Baixa</v>
      </c>
    </row>
    <row r="48" spans="1:160" s="2" customFormat="1" ht="11.25" hidden="1"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8">
        <v>20.27</v>
      </c>
      <c r="BC48" s="62">
        <v>21.41</v>
      </c>
      <c r="BD48" s="62">
        <v>21.3</v>
      </c>
      <c r="BE48" s="62">
        <v>21.02</v>
      </c>
      <c r="BF48" s="62">
        <v>21.25</v>
      </c>
      <c r="BG48" s="81">
        <v>20.82</v>
      </c>
      <c r="BH48" s="62">
        <v>20.76</v>
      </c>
      <c r="BI48" s="62">
        <v>20.05</v>
      </c>
      <c r="BJ48" s="62" cm="1">
        <f t="array" aca="1" ref="BJ48" ca="1">_FV(EH48,"Preço")</f>
        <v>20.03</v>
      </c>
      <c r="BK48" s="83" t="s">
        <v>45</v>
      </c>
      <c r="BL48" s="44" cm="1">
        <f t="array" aca="1" ref="BL48" ca="1">_FV(EH48,"Média de volume",TRUE)</f>
        <v>208020</v>
      </c>
      <c r="BM48" s="44">
        <v>91600</v>
      </c>
      <c r="BN48" s="44" cm="1">
        <f t="array" aca="1" ref="BN48" ca="1">_FV(EH48,"Volume")</f>
        <v>165300</v>
      </c>
      <c r="BO48" s="32" cm="1">
        <f t="array" aca="1" ref="BO48" ca="1">_FV(EH48,"Beta")</f>
        <v>0.67410000000000003</v>
      </c>
      <c r="BP48" s="86" cm="1">
        <f t="array" aca="1" ref="BP48" ca="1">_FV(EH48,"Variação (%)",TRUE)</f>
        <v>-9.9750000000000012E-4</v>
      </c>
      <c r="BQ48" s="48"/>
      <c r="BR48" s="48"/>
      <c r="BT48" s="20" cm="1">
        <f t="array" aca="1" ref="BT48" ca="1">_FV(EH48,"Baixo")</f>
        <v>19.97</v>
      </c>
      <c r="BU48" s="20" cm="1">
        <f t="array" aca="1" ref="BU48" ca="1">_FV(EH48,"Alto")</f>
        <v>20.16</v>
      </c>
      <c r="BV48" s="32"/>
      <c r="BW48" s="73">
        <f ca="1">SQRT(22.5*(BJ48/VLOOKUP(BK48,Fundamentus!A:U,3,FALSE))*(BJ48/VLOOKUP(BK48,Fundamentus!A:U,4,FALSE)))</f>
        <v>36.32583344540388</v>
      </c>
      <c r="BY48" s="72">
        <f t="shared" ca="1" si="0"/>
        <v>-9.9750623441394377E-4</v>
      </c>
      <c r="BZ48" s="8"/>
      <c r="CA48" s="71">
        <f t="shared" si="36"/>
        <v>20.05</v>
      </c>
      <c r="CB48" s="71">
        <f t="shared" si="1"/>
        <v>27.87</v>
      </c>
      <c r="CC48" s="71">
        <f t="shared" si="37"/>
        <v>23.584098360655737</v>
      </c>
      <c r="CD48" s="17"/>
      <c r="CE48" s="43">
        <f t="shared" si="19"/>
        <v>18.943954124334667</v>
      </c>
      <c r="CF48" s="18">
        <f>FORECAST("04/07/2025", BF48:BI48, $BF$5:$BI$5)</f>
        <v>19.804999999999836</v>
      </c>
      <c r="CG48" s="43">
        <f t="shared" si="20"/>
        <v>20.666045875665006</v>
      </c>
      <c r="CI48" s="17"/>
      <c r="CJ48" s="20">
        <f>CA48-2*(CB48-CM48)</f>
        <v>9.6233333333333313</v>
      </c>
      <c r="CK48" s="20">
        <f>CM48-(CB48-CA48)</f>
        <v>14.836666666666666</v>
      </c>
      <c r="CL48" s="20">
        <f>2*CM48-CB48</f>
        <v>17.443333333333332</v>
      </c>
      <c r="CM48" s="48">
        <f>(CB48+CA48+BI48)/3</f>
        <v>22.656666666666666</v>
      </c>
      <c r="CN48" s="20">
        <f>2*CM48-CA48</f>
        <v>25.263333333333332</v>
      </c>
      <c r="CO48" s="20">
        <f>CM48+(CB48-CA48)</f>
        <v>30.476666666666667</v>
      </c>
      <c r="CP48" s="20">
        <f>CB48+2*(CM48-CA48)</f>
        <v>33.083333333333329</v>
      </c>
      <c r="CQ48" s="2" cm="1">
        <f t="array" aca="1" ref="CQ48" ca="1">MAX(_xlfn._xlws.FILTER(CJ48:CP48,CJ48:CP48&lt;BJ48))</f>
        <v>17.443333333333332</v>
      </c>
      <c r="CR48" s="2" cm="1">
        <f t="array" aca="1" ref="CR48" ca="1">MIN(_xlfn._xlws.FILTER($CJ48:$CP48,$CJ48:$CP48&gt;BJ48))</f>
        <v>22.656666666666666</v>
      </c>
      <c r="CS48" s="19">
        <f t="shared" ca="1" si="55"/>
        <v>0.29887253965220717</v>
      </c>
      <c r="CT48" s="23">
        <f t="shared" ca="1" si="56"/>
        <v>-0.14943626982610358</v>
      </c>
      <c r="CU48" s="23">
        <f t="shared" ca="1" si="57"/>
        <v>-9.9624179884069061E-2</v>
      </c>
      <c r="CV48" s="23">
        <f t="shared" ca="1" si="58"/>
        <v>-5.9774507930441437E-2</v>
      </c>
      <c r="CW48" s="23">
        <f t="shared" ca="1" si="59"/>
        <v>-3.3208059961356354E-2</v>
      </c>
      <c r="CX48" s="23">
        <f t="shared" ca="1" si="60"/>
        <v>-1.7580737626600423E-2</v>
      </c>
      <c r="CY48" s="23">
        <f t="shared" ca="1" si="61"/>
        <v>-9.056743625824459E-3</v>
      </c>
      <c r="CZ48" s="23">
        <f t="shared" ca="1" si="62"/>
        <v>-4.5980390715724181E-3</v>
      </c>
      <c r="DA48" s="24">
        <f t="shared" ca="1" si="63"/>
        <v>4.5980390715724181E-3</v>
      </c>
      <c r="DB48" s="24">
        <f t="shared" ca="1" si="64"/>
        <v>9.056743625824459E-3</v>
      </c>
      <c r="DC48" s="24">
        <f t="shared" ca="1" si="65"/>
        <v>1.7580737626600423E-2</v>
      </c>
      <c r="DD48" s="24">
        <f t="shared" ca="1" si="66"/>
        <v>3.3208059961356354E-2</v>
      </c>
      <c r="DE48" s="24">
        <f t="shared" ca="1" si="67"/>
        <v>5.9774507930441437E-2</v>
      </c>
      <c r="DF48" s="24">
        <f t="shared" ca="1" si="68"/>
        <v>9.9624179884069061E-2</v>
      </c>
      <c r="DG48" s="24">
        <f t="shared" ca="1" si="69"/>
        <v>0.14943626982610358</v>
      </c>
      <c r="DI48" s="19" cm="1">
        <f t="array" aca="1" ref="DI48" ca="1">MAX(_xlfn._xlws.FILTER(CT48:DG48,CT48:DG48&lt;BP48))</f>
        <v>-4.5980390715724181E-3</v>
      </c>
      <c r="DJ48" s="19" cm="1">
        <f t="array" aca="1" ref="DJ48" ca="1">MIN(_xlfn._xlws.FILTER(CT48:DG48,CT48:DG48&gt;BP48))</f>
        <v>4.5980390715724181E-3</v>
      </c>
      <c r="DK48" s="2" cm="1">
        <f t="array" aca="1" ref="DK48" ca="1">_FV(EH48,"Fechamento anterior",TRUE)</f>
        <v>20.05</v>
      </c>
      <c r="DL48" s="36">
        <f ca="1">(BJ48-DM48)/(DN48-DM48)</f>
        <v>0.39152916940385868</v>
      </c>
      <c r="DM48" s="18">
        <f t="shared" ca="1" si="70"/>
        <v>19.957809316614973</v>
      </c>
      <c r="DN48" s="18">
        <f t="shared" ca="1" si="71"/>
        <v>20.142190683385028</v>
      </c>
      <c r="DO48" s="9"/>
      <c r="DP48" s="9"/>
      <c r="DQ48" s="94">
        <v>1.3325594238218066E-2</v>
      </c>
      <c r="DR48" s="94">
        <v>7.8415996863360152E-3</v>
      </c>
      <c r="DS48" s="94">
        <v>8.2999305978499471E-3</v>
      </c>
      <c r="DT48" s="94">
        <f t="shared" ca="1" si="12"/>
        <v>9.1960781431448362E-3</v>
      </c>
      <c r="DU48" s="87">
        <f ca="1">(BJ48-CF48)/(CF48-CE48)</f>
        <v>0.26131011872781962</v>
      </c>
      <c r="DV48" s="46"/>
      <c r="DW48" s="43">
        <f>_xlfn.STDEV.P(BF48:BI48)</f>
        <v>0.43052293783258494</v>
      </c>
      <c r="DX48" s="76">
        <f ca="1">BO48-$DT$2</f>
        <v>-0.32300000000000006</v>
      </c>
      <c r="DY48" s="76">
        <f ca="1">BO48-BP48*100</f>
        <v>0.77385000000000004</v>
      </c>
      <c r="DZ48" s="101"/>
      <c r="EA48" s="100">
        <v>-3.6399999999999988E-2</v>
      </c>
      <c r="EB48" s="107">
        <v>0.95369999999999988</v>
      </c>
      <c r="EC48" s="107">
        <v>-0.11750000000000005</v>
      </c>
      <c r="ED48" s="98">
        <f t="shared" ca="1" si="13"/>
        <v>-1.0968500000000001</v>
      </c>
      <c r="EE48" s="66"/>
      <c r="EF48" s="66"/>
      <c r="EH48" s="2" t="e" vm="48">
        <v>#VALUE!</v>
      </c>
      <c r="EJ48" s="10" cm="1">
        <f t="array" aca="1" ref="EJ48" ca="1">_FV(EH48,"Ações em circulação",TRUE)</f>
        <v>102683400</v>
      </c>
      <c r="EK48" s="21">
        <f>VLOOKUP(BK48,Fundamentus!A:U,5,FALSE)</f>
        <v>1.5780000000000001</v>
      </c>
      <c r="EL48" s="2">
        <f ca="1">(BJ48*EJ48)/EK48</f>
        <v>1303389418.2509506</v>
      </c>
      <c r="EM48" s="20">
        <v>298121860.48479086</v>
      </c>
      <c r="EN48" s="20">
        <f t="shared" ca="1" si="14"/>
        <v>297824482.07034224</v>
      </c>
      <c r="EP48" s="19">
        <f t="shared" ca="1" si="15"/>
        <v>-9.9750623441374753E-4</v>
      </c>
      <c r="EQ48" s="40" t="str">
        <f>IF(VLOOKUP(BK48,Fundamentus!A:U,3,FALSE)&lt;15,"Bom",IF(VLOOKUP(BK48,Fundamentus!A:U,3,FALSE)&gt;15,"Ruim","n/a"))</f>
        <v>Bom</v>
      </c>
      <c r="ER48" s="36" t="str">
        <f>IF(VLOOKUP(BK48,Fundamentus!A:U,4,FALSE)&lt;1,"Baixo",IF(VLOOKUP(BK48,Fundamentus!A:U,4,FALSE)&lt;1.5,"Moderado",IF(VLOOKUP(BK48,Fundamentus!A:U,4,FALSE)&gt;1.5,"Alto","n/a")))</f>
        <v>Baixo</v>
      </c>
      <c r="ES48" s="20" t="str">
        <f>IF(VLOOKUP(BK48,Fundamentus!A:U,8,FALSE)&lt;0,"Risco elevado",IF(VLOOKUP(BK48,Fundamentus!A:U,8,FALSE)&lt;1,"Saudável",IF(VLOOKUP(BK48,Fundamentus!A:U,8,FALSE)&lt;3,"Estável",IF(VLOOKUP(BK48,Fundamentus!A:U,8,FALSE)&gt;3,"Alerta","n/a"))))</f>
        <v>Alerta</v>
      </c>
      <c r="ET48" s="36" t="str">
        <f t="shared" si="16"/>
        <v>Bom</v>
      </c>
      <c r="EU48" s="20" t="str">
        <f>IF(VLOOKUP(BK48,Fundamentus!A:U,12,FALSE)&lt;2,"Subvalorizada",IF(VLOOKUP(BK48,Fundamentus!A:U,12,FALSE)&lt;6,"Muita barata",IF(VLOOKUP(BK48,Fundamentus!A:U,12,FALSE)&lt;6,"Barata",IF(VLOOKUP(BK48,Fundamentus!A:U,12,FALSE)&lt;8,"Atrativa",IF(VLOOKUP(BK48,Fundamentus!A:U,12,FALSE)&gt;8,"Supervalorizada","n/a")))))</f>
        <v>Atrativa</v>
      </c>
      <c r="EW48" s="20" t="str">
        <f>IF(VLOOKUP(BK48,Fundamentus!A:U,17,FALSE)&lt;0.1,"Fraco retorno",IF(VLOOKUP(BK48,Fundamentus!A:U,17,FALSE)&gt;0.1,"Bom retorno","n/a"))</f>
        <v>Bom retorno</v>
      </c>
      <c r="EX48" s="20" t="str">
        <f>IF(VLOOKUP(BK48,Fundamentus!A:U,16,FALSE)&lt;0.1,"Ineficiente",IF(VLOOKUP(BK48,Fundamentus!A:U,16,FALSE)&gt;0.1,"Eficiente","n/a"))</f>
        <v>Eficiente</v>
      </c>
      <c r="EY48" s="41" t="str">
        <f>IF(VLOOKUP(BK48,Fundamentus!A:U,16,FALSE)&lt;0.1,"Oper. Ineficiente",IF(VLOOKUP(BK48,Fundamentus!A:U,16,FALSE)&gt;0.1,"Oper.Eficiente","n/a"))</f>
        <v>Oper.Eficiente</v>
      </c>
      <c r="EZ48" s="42">
        <f>VLOOKUP(BK48,Fundamentus!A:U,14,FALSE)</f>
        <v>0.22850000000000001</v>
      </c>
      <c r="FA48" s="20" t="str">
        <f>IF(VLOOKUP(BK48,Fundamentus!A:U,21,FALSE)&lt;0,"Negativo",IF(VLOOKUP(BK48,Fundamentus!A:U,21,FALSE)&lt;0.05,"Fraco",IF(VLOOKUP(BK48,Fundamentus!A:U,21,FALSE)&lt;0.1,"Bom",IF(VLOOKUP(BK48,Fundamentus!A:U,21,FALSE)&gt;0.1,"Muito bom","n/a"))))</f>
        <v>Negativo</v>
      </c>
      <c r="FC48" s="37" t="str">
        <f>IF(VLOOKUP(BK48,Fundamentus!A:U,15,FALSE)&gt;1,"Bom",IF(VLOOKUP(BK48,Fundamentus!A:U,15,FALSE)&lt;1,"Ruim","n/a"))</f>
        <v>Bom</v>
      </c>
      <c r="FD48" s="20" t="str">
        <f>IF(VLOOKUP(BK48,Fundamentus!A:U,20,FALSE)&lt;0.5,"Baixa",IF(VLOOKUP(BK48,Fundamentus!A:U,20,FALSE)&lt;1,"Moderada",IF(VLOOKUP(BK48,Fundamentus!A:U,20,FALSE)&lt;2,"Alerta",IF(VLOOKUP(BK48,Fundamentus!A:U,20,FALSE)&gt;2,"Alta","n/a"))))</f>
        <v>Moderada</v>
      </c>
    </row>
    <row r="49" spans="1:160" s="2" customFormat="1" ht="11.25" hidden="1"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8">
        <v>3.78</v>
      </c>
      <c r="BC49" s="62">
        <v>3.87</v>
      </c>
      <c r="BD49" s="62">
        <v>3.75</v>
      </c>
      <c r="BE49" s="62">
        <v>3.71</v>
      </c>
      <c r="BF49" s="62">
        <v>3.71</v>
      </c>
      <c r="BG49" s="81">
        <v>3.67</v>
      </c>
      <c r="BH49" s="62">
        <v>3.66</v>
      </c>
      <c r="BI49" s="62">
        <v>3.68</v>
      </c>
      <c r="BJ49" s="62" cm="1">
        <f t="array" aca="1" ref="BJ49" ca="1">_FV(EH49,"Preço")</f>
        <v>3.68</v>
      </c>
      <c r="BK49" s="83" t="s">
        <v>46</v>
      </c>
      <c r="BL49" s="44" cm="1">
        <f t="array" aca="1" ref="BL49" ca="1">_FV(EH49,"Média de volume",TRUE)</f>
        <v>660550</v>
      </c>
      <c r="BM49" s="44">
        <v>1042300</v>
      </c>
      <c r="BN49" s="44" cm="1">
        <f t="array" aca="1" ref="BN49" ca="1">_FV(EH49,"Volume")</f>
        <v>187300</v>
      </c>
      <c r="BO49" s="32" cm="1">
        <f t="array" aca="1" ref="BO49" ca="1">_FV(EH49,"Beta")</f>
        <v>1.177</v>
      </c>
      <c r="BP49" s="86" cm="1">
        <f t="array" aca="1" ref="BP49" ca="1">_FV(EH49,"Variação (%)",TRUE)</f>
        <v>0</v>
      </c>
      <c r="BQ49" s="48"/>
      <c r="BR49" s="48"/>
      <c r="BT49" s="20" cm="1">
        <f t="array" aca="1" ref="BT49" ca="1">_FV(EH49,"Baixo")</f>
        <v>3.66</v>
      </c>
      <c r="BU49" s="20" cm="1">
        <f t="array" aca="1" ref="BU49" ca="1">_FV(EH49,"Alto")</f>
        <v>3.7</v>
      </c>
      <c r="BV49" s="32"/>
      <c r="BW49" s="73">
        <f ca="1">SQRT(22.5*(BJ49/VLOOKUP(BK49,Fundamentus!A:U,3,FALSE))*(BJ49/VLOOKUP(BK49,Fundamentus!A:U,4,FALSE)))</f>
        <v>10.308487230276487</v>
      </c>
      <c r="BY49" s="72">
        <f t="shared" ca="1" si="0"/>
        <v>0</v>
      </c>
      <c r="BZ49" s="8"/>
      <c r="CA49" s="71">
        <f t="shared" si="36"/>
        <v>3.1</v>
      </c>
      <c r="CB49" s="71">
        <f t="shared" si="1"/>
        <v>4.24</v>
      </c>
      <c r="CC49" s="71">
        <f t="shared" si="37"/>
        <v>3.7313114754098353</v>
      </c>
      <c r="CD49" s="17"/>
      <c r="CE49" s="43">
        <f t="shared" si="19"/>
        <v>3.6175834261322617</v>
      </c>
      <c r="CF49" s="18">
        <f>FORECAST("04/07/2025", BF49:BI49, $BF$5:$BI$5)</f>
        <v>3.6550000000000011</v>
      </c>
      <c r="CG49" s="43">
        <f t="shared" si="20"/>
        <v>3.6924165738677406</v>
      </c>
      <c r="CI49" s="17"/>
      <c r="CJ49" s="20">
        <f>CA49-2*(CB49-CM49)</f>
        <v>1.9666666666666663</v>
      </c>
      <c r="CK49" s="20">
        <f>CM49-(CB49-CA49)</f>
        <v>2.5333333333333332</v>
      </c>
      <c r="CL49" s="20">
        <f>2*CM49-CB49</f>
        <v>3.1066666666666665</v>
      </c>
      <c r="CM49" s="48">
        <f>(CB49+CA49+BI49)/3</f>
        <v>3.6733333333333333</v>
      </c>
      <c r="CN49" s="20">
        <f>2*CM49-CA49</f>
        <v>4.2466666666666661</v>
      </c>
      <c r="CO49" s="20">
        <f>CM49+(CB49-CA49)</f>
        <v>4.8133333333333335</v>
      </c>
      <c r="CP49" s="20">
        <f>CB49+2*(CM49-CA49)</f>
        <v>5.3866666666666667</v>
      </c>
      <c r="CQ49" s="2" cm="1">
        <f t="array" aca="1" ref="CQ49" ca="1">MAX(_xlfn._xlws.FILTER(CJ49:CP49,CJ49:CP49&lt;BJ49))</f>
        <v>3.6733333333333333</v>
      </c>
      <c r="CR49" s="2" cm="1">
        <f t="array" aca="1" ref="CR49" ca="1">MIN(_xlfn._xlws.FILTER($CJ49:$CP49,$CJ49:$CP49&gt;BJ49))</f>
        <v>4.2466666666666661</v>
      </c>
      <c r="CS49" s="19">
        <f t="shared" ca="1" si="55"/>
        <v>0.15607985480943731</v>
      </c>
      <c r="CT49" s="23">
        <f t="shared" ca="1" si="56"/>
        <v>-7.8039927404718656E-2</v>
      </c>
      <c r="CU49" s="23">
        <f t="shared" ca="1" si="57"/>
        <v>-5.202661826981244E-2</v>
      </c>
      <c r="CV49" s="23">
        <f t="shared" ca="1" si="58"/>
        <v>-3.1215970961887461E-2</v>
      </c>
      <c r="CW49" s="23">
        <f t="shared" ca="1" si="59"/>
        <v>-1.734220608993748E-2</v>
      </c>
      <c r="CX49" s="23">
        <f t="shared" ca="1" si="60"/>
        <v>-9.1811679299669009E-3</v>
      </c>
      <c r="CY49" s="23">
        <f t="shared" ca="1" si="61"/>
        <v>-4.7296925699829486E-3</v>
      </c>
      <c r="CZ49" s="23">
        <f t="shared" ca="1" si="62"/>
        <v>-2.401228535529805E-3</v>
      </c>
      <c r="DA49" s="24">
        <f t="shared" ca="1" si="63"/>
        <v>2.401228535529805E-3</v>
      </c>
      <c r="DB49" s="24">
        <f t="shared" ca="1" si="64"/>
        <v>4.7296925699829486E-3</v>
      </c>
      <c r="DC49" s="24">
        <f t="shared" ca="1" si="65"/>
        <v>9.1811679299669009E-3</v>
      </c>
      <c r="DD49" s="24">
        <f t="shared" ca="1" si="66"/>
        <v>1.734220608993748E-2</v>
      </c>
      <c r="DE49" s="24">
        <f t="shared" ca="1" si="67"/>
        <v>3.1215970961887461E-2</v>
      </c>
      <c r="DF49" s="24">
        <f t="shared" ca="1" si="68"/>
        <v>5.202661826981244E-2</v>
      </c>
      <c r="DG49" s="24">
        <f t="shared" ca="1" si="69"/>
        <v>7.8039927404718656E-2</v>
      </c>
      <c r="DI49" s="19" cm="1">
        <f t="array" aca="1" ref="DI49" ca="1">MAX(_xlfn._xlws.FILTER(CT49:DG49,CT49:DG49&lt;BP49))</f>
        <v>-2.401228535529805E-3</v>
      </c>
      <c r="DJ49" s="19" cm="1">
        <f t="array" aca="1" ref="DJ49" ca="1">MIN(_xlfn._xlws.FILTER(CT49:DG49,CT49:DG49&gt;BP49))</f>
        <v>2.401228535529805E-3</v>
      </c>
      <c r="DK49" s="2" cm="1">
        <f t="array" aca="1" ref="DK49" ca="1">_FV(EH49,"Fechamento anterior",TRUE)</f>
        <v>3.68</v>
      </c>
      <c r="DL49" s="36">
        <f ca="1">(BJ49-DM49)/(DN49-DM49)</f>
        <v>0.5</v>
      </c>
      <c r="DM49" s="18">
        <f t="shared" ca="1" si="70"/>
        <v>3.6711634789892504</v>
      </c>
      <c r="DN49" s="18">
        <f t="shared" ca="1" si="71"/>
        <v>3.6888365210107499</v>
      </c>
      <c r="DO49" s="9"/>
      <c r="DP49" s="9"/>
      <c r="DQ49" s="94">
        <v>4.0008634957184944E-3</v>
      </c>
      <c r="DR49" s="94">
        <v>4.0008634957184944E-3</v>
      </c>
      <c r="DS49" s="94">
        <v>1.1315136476426804E-2</v>
      </c>
      <c r="DT49" s="94">
        <f t="shared" ca="1" si="12"/>
        <v>4.80245707105961E-3</v>
      </c>
      <c r="DU49" s="87">
        <f ca="1">(BJ49-CF49)/(CF49-CE49)</f>
        <v>0.66815310478103429</v>
      </c>
      <c r="DV49" s="46"/>
      <c r="DW49" s="43">
        <f>_xlfn.STDEV.P(BF49:BI49)</f>
        <v>1.8708286933869663E-2</v>
      </c>
      <c r="DX49" s="76">
        <f ca="1">BO49-$DT$2</f>
        <v>0.17989999999999995</v>
      </c>
      <c r="DY49" s="76">
        <f ca="1">BO49-BP49*100</f>
        <v>1.177</v>
      </c>
      <c r="DZ49" s="101"/>
      <c r="EA49" s="100">
        <v>2.8399999999999981E-2</v>
      </c>
      <c r="EB49" s="107">
        <v>0.42890000000000006</v>
      </c>
      <c r="EC49" s="107">
        <v>5.0242000000000004</v>
      </c>
      <c r="ED49" s="98">
        <f t="shared" ca="1" si="13"/>
        <v>-0.9971000000000001</v>
      </c>
      <c r="EE49" s="66"/>
      <c r="EF49" s="66"/>
      <c r="EH49" s="2" t="e" vm="49">
        <v>#VALUE!</v>
      </c>
      <c r="EJ49" s="10" cm="1">
        <f t="array" aca="1" ref="EJ49" ca="1">_FV(EH49,"Ações em circulação",TRUE)</f>
        <v>210536200</v>
      </c>
      <c r="EK49" s="21">
        <f>VLOOKUP(BK49,Fundamentus!A:U,5,FALSE)</f>
        <v>0</v>
      </c>
      <c r="EL49" s="2" t="e">
        <f ca="1">(BJ49*EJ49)/EK49</f>
        <v>#DIV/0!</v>
      </c>
      <c r="EM49" s="20" t="e">
        <v>#DIV/0!</v>
      </c>
      <c r="EN49" s="20" t="e">
        <f t="shared" ca="1" si="14"/>
        <v>#DIV/0!</v>
      </c>
      <c r="EP49" s="19" t="e">
        <f t="shared" ca="1" si="15"/>
        <v>#DIV/0!</v>
      </c>
      <c r="EQ49" s="40" t="str">
        <f>IF(VLOOKUP(BK49,Fundamentus!A:U,3,FALSE)&lt;15,"Bom",IF(VLOOKUP(BK49,Fundamentus!A:U,3,FALSE)&gt;15,"Ruim","n/a"))</f>
        <v>Bom</v>
      </c>
      <c r="ER49" s="36" t="str">
        <f>IF(VLOOKUP(BK49,Fundamentus!A:U,4,FALSE)&lt;1,"Baixo",IF(VLOOKUP(BK49,Fundamentus!A:U,4,FALSE)&lt;1.5,"Moderado",IF(VLOOKUP(BK49,Fundamentus!A:U,4,FALSE)&gt;1.5,"Alto","n/a")))</f>
        <v>Baixo</v>
      </c>
      <c r="ES49" s="20" t="str">
        <f>IF(VLOOKUP(BK49,Fundamentus!A:U,8,FALSE)&lt;0,"Risco elevado",IF(VLOOKUP(BK49,Fundamentus!A:U,8,FALSE)&lt;1,"Saudável",IF(VLOOKUP(BK49,Fundamentus!A:U,8,FALSE)&lt;3,"Estável",IF(VLOOKUP(BK49,Fundamentus!A:U,8,FALSE)&gt;3,"Alerta","n/a"))))</f>
        <v>Saudável</v>
      </c>
      <c r="ET49" s="36" t="str">
        <f t="shared" si="16"/>
        <v>Ruim</v>
      </c>
      <c r="EU49" s="20" t="str">
        <f>IF(VLOOKUP(BK49,Fundamentus!A:U,12,FALSE)&lt;2,"Subvalorizada",IF(VLOOKUP(BK49,Fundamentus!A:U,12,FALSE)&lt;6,"Muita barata",IF(VLOOKUP(BK49,Fundamentus!A:U,12,FALSE)&lt;6,"Barata",IF(VLOOKUP(BK49,Fundamentus!A:U,12,FALSE)&lt;8,"Atrativa",IF(VLOOKUP(BK49,Fundamentus!A:U,12,FALSE)&gt;8,"Supervalorizada","n/a")))))</f>
        <v>Subvalorizada</v>
      </c>
      <c r="EW49" s="20" t="str">
        <f>IF(VLOOKUP(BK49,Fundamentus!A:U,17,FALSE)&lt;0.1,"Fraco retorno",IF(VLOOKUP(BK49,Fundamentus!A:U,17,FALSE)&gt;0.1,"Bom retorno","n/a"))</f>
        <v>Bom retorno</v>
      </c>
      <c r="EX49" s="20" t="str">
        <f>IF(VLOOKUP(BK49,Fundamentus!A:U,16,FALSE)&lt;0.1,"Ineficiente",IF(VLOOKUP(BK49,Fundamentus!A:U,16,FALSE)&gt;0.1,"Eficiente","n/a"))</f>
        <v>Ineficiente</v>
      </c>
      <c r="EY49" s="41" t="str">
        <f>IF(VLOOKUP(BK49,Fundamentus!A:U,16,FALSE)&lt;0.1,"Oper. Ineficiente",IF(VLOOKUP(BK49,Fundamentus!A:U,16,FALSE)&gt;0.1,"Oper.Eficiente","n/a"))</f>
        <v>Oper. Ineficiente</v>
      </c>
      <c r="EZ49" s="42">
        <f>VLOOKUP(BK49,Fundamentus!A:U,14,FALSE)</f>
        <v>0</v>
      </c>
      <c r="FA49" s="20" t="str">
        <f>IF(VLOOKUP(BK49,Fundamentus!A:U,21,FALSE)&lt;0,"Negativo",IF(VLOOKUP(BK49,Fundamentus!A:U,21,FALSE)&lt;0.05,"Fraco",IF(VLOOKUP(BK49,Fundamentus!A:U,21,FALSE)&lt;0.1,"Bom",IF(VLOOKUP(BK49,Fundamentus!A:U,21,FALSE)&gt;0.1,"Muito bom","n/a"))))</f>
        <v>Negativo</v>
      </c>
      <c r="FC49" s="37" t="str">
        <f>IF(VLOOKUP(BK49,Fundamentus!A:U,15,FALSE)&gt;1,"Bom",IF(VLOOKUP(BK49,Fundamentus!A:U,15,FALSE)&lt;1,"Ruim","n/a"))</f>
        <v>Ruim</v>
      </c>
      <c r="FD49" s="20" t="str">
        <f>IF(VLOOKUP(BK49,Fundamentus!A:U,20,FALSE)&lt;0.5,"Baixa",IF(VLOOKUP(BK49,Fundamentus!A:U,20,FALSE)&lt;1,"Moderada",IF(VLOOKUP(BK49,Fundamentus!A:U,20,FALSE)&lt;2,"Alerta",IF(VLOOKUP(BK49,Fundamentus!A:U,20,FALSE)&gt;2,"Alta","n/a"))))</f>
        <v>Baixa</v>
      </c>
    </row>
    <row r="50" spans="1:160" s="2" customFormat="1" ht="11.25" hidden="1"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8">
        <v>11.92</v>
      </c>
      <c r="BC50" s="62">
        <v>11.94</v>
      </c>
      <c r="BD50" s="62">
        <v>11.73</v>
      </c>
      <c r="BE50" s="62">
        <v>11.99</v>
      </c>
      <c r="BF50" s="62">
        <v>11.45</v>
      </c>
      <c r="BG50" s="81">
        <v>10.98</v>
      </c>
      <c r="BH50" s="62">
        <v>10.46</v>
      </c>
      <c r="BI50" s="62">
        <v>10.27</v>
      </c>
      <c r="BJ50" s="62" cm="1">
        <f t="array" aca="1" ref="BJ50" ca="1">_FV(EH50,"Preço")</f>
        <v>10.09</v>
      </c>
      <c r="BK50" s="83" t="s">
        <v>47</v>
      </c>
      <c r="BL50" s="44" cm="1">
        <f t="array" aca="1" ref="BL50" ca="1">_FV(EH50,"Média de volume",TRUE)</f>
        <v>90620</v>
      </c>
      <c r="BM50" s="44">
        <v>25800</v>
      </c>
      <c r="BN50" s="44" cm="1">
        <f t="array" aca="1" ref="BN50" ca="1">_FV(EH50,"Volume")</f>
        <v>14400</v>
      </c>
      <c r="BO50" s="32" cm="1">
        <f t="array" aca="1" ref="BO50" ca="1">_FV(EH50,"Beta")</f>
        <v>-0.36120000000000002</v>
      </c>
      <c r="BP50" s="86" cm="1">
        <f t="array" aca="1" ref="BP50" ca="1">_FV(EH50,"Variação (%)",TRUE)</f>
        <v>-1.7527000000000001E-2</v>
      </c>
      <c r="BQ50" s="48"/>
      <c r="BR50" s="48"/>
      <c r="BT50" s="20" cm="1">
        <f t="array" aca="1" ref="BT50" ca="1">_FV(EH50,"Baixo")</f>
        <v>10.039999999999999</v>
      </c>
      <c r="BU50" s="20" cm="1">
        <f t="array" aca="1" ref="BU50" ca="1">_FV(EH50,"Alto")</f>
        <v>10.27</v>
      </c>
      <c r="BV50" s="32"/>
      <c r="BW50" s="73">
        <f ca="1">SQRT(22.5*(BJ50/VLOOKUP(BK50,Fundamentus!A:U,3,FALSE))*(BJ50/VLOOKUP(BK50,Fundamentus!A:U,4,FALSE)))</f>
        <v>3.9840191945722903</v>
      </c>
      <c r="BY50" s="72">
        <f t="shared" ca="1" si="0"/>
        <v>-1.752677702044788E-2</v>
      </c>
      <c r="BZ50" s="8"/>
      <c r="CA50" s="71">
        <f t="shared" si="36"/>
        <v>10.27</v>
      </c>
      <c r="CB50" s="71">
        <f t="shared" si="1"/>
        <v>16</v>
      </c>
      <c r="CC50" s="71">
        <f t="shared" si="37"/>
        <v>13.563360655737711</v>
      </c>
      <c r="CD50" s="17"/>
      <c r="CE50" s="43">
        <f t="shared" si="19"/>
        <v>8.8525033875397323</v>
      </c>
      <c r="CF50" s="18">
        <f>FORECAST("04/07/2025", BF50:BI50, $BF$5:$BI$5)</f>
        <v>9.7749999999996362</v>
      </c>
      <c r="CG50" s="43">
        <f t="shared" si="20"/>
        <v>10.69749661245954</v>
      </c>
      <c r="CI50" s="17"/>
      <c r="CJ50" s="20">
        <f>CA50-2*(CB50-CM50)</f>
        <v>2.629999999999999</v>
      </c>
      <c r="CK50" s="20">
        <f>CM50-(CB50-CA50)</f>
        <v>6.4499999999999993</v>
      </c>
      <c r="CL50" s="20">
        <f>2*CM50-CB50</f>
        <v>8.36</v>
      </c>
      <c r="CM50" s="48">
        <f>(CB50+CA50+BI50)/3</f>
        <v>12.18</v>
      </c>
      <c r="CN50" s="20">
        <f>2*CM50-CA50</f>
        <v>14.09</v>
      </c>
      <c r="CO50" s="20">
        <f>CM50+(CB50-CA50)</f>
        <v>17.91</v>
      </c>
      <c r="CP50" s="20">
        <f>CB50+2*(CM50-CA50)</f>
        <v>19.82</v>
      </c>
      <c r="CQ50" s="2" cm="1">
        <f t="array" aca="1" ref="CQ50" ca="1">MAX(_xlfn._xlws.FILTER(CJ50:CP50,CJ50:CP50&lt;BJ50))</f>
        <v>8.36</v>
      </c>
      <c r="CR50" s="2" cm="1">
        <f t="array" aca="1" ref="CR50" ca="1">MIN(_xlfn._xlws.FILTER($CJ50:$CP50,$CJ50:$CP50&gt;BJ50))</f>
        <v>12.18</v>
      </c>
      <c r="CS50" s="19">
        <f t="shared" ca="1" si="55"/>
        <v>0.45693779904306231</v>
      </c>
      <c r="CT50" s="23">
        <f t="shared" ca="1" si="56"/>
        <v>-0.22846889952153115</v>
      </c>
      <c r="CU50" s="23">
        <f t="shared" ca="1" si="57"/>
        <v>-0.15231259968102076</v>
      </c>
      <c r="CV50" s="23">
        <f t="shared" ca="1" si="58"/>
        <v>-9.1387559808612462E-2</v>
      </c>
      <c r="CW50" s="23">
        <f t="shared" ca="1" si="59"/>
        <v>-5.0770866560340258E-2</v>
      </c>
      <c r="CX50" s="23">
        <f t="shared" ca="1" si="60"/>
        <v>-2.6878694061356605E-2</v>
      </c>
      <c r="CY50" s="23">
        <f t="shared" ca="1" si="61"/>
        <v>-1.3846599971001888E-2</v>
      </c>
      <c r="CZ50" s="23">
        <f t="shared" ca="1" si="62"/>
        <v>-7.0298122929701896E-3</v>
      </c>
      <c r="DA50" s="24">
        <f t="shared" ca="1" si="63"/>
        <v>7.0298122929701896E-3</v>
      </c>
      <c r="DB50" s="24">
        <f t="shared" ca="1" si="64"/>
        <v>1.3846599971001888E-2</v>
      </c>
      <c r="DC50" s="24">
        <f t="shared" ca="1" si="65"/>
        <v>2.6878694061356605E-2</v>
      </c>
      <c r="DD50" s="24">
        <f t="shared" ca="1" si="66"/>
        <v>5.0770866560340258E-2</v>
      </c>
      <c r="DE50" s="24">
        <f t="shared" ca="1" si="67"/>
        <v>9.1387559808612462E-2</v>
      </c>
      <c r="DF50" s="24">
        <f t="shared" ca="1" si="68"/>
        <v>0.15231259968102076</v>
      </c>
      <c r="DG50" s="24">
        <f t="shared" ca="1" si="69"/>
        <v>0.22846889952153115</v>
      </c>
      <c r="DI50" s="19" cm="1">
        <f t="array" aca="1" ref="DI50" ca="1">MAX(_xlfn._xlws.FILTER(CT50:DG50,CT50:DG50&lt;BP50))</f>
        <v>-2.6878694061356605E-2</v>
      </c>
      <c r="DJ50" s="19" cm="1">
        <f t="array" aca="1" ref="DJ50" ca="1">MIN(_xlfn._xlws.FILTER(CT50:DG50,CT50:DG50&gt;BP50))</f>
        <v>-1.3846599971001888E-2</v>
      </c>
      <c r="DK50" s="2" cm="1">
        <f t="array" aca="1" ref="DK50" ca="1">_FV(EH50,"Fechamento anterior",TRUE)</f>
        <v>10.27</v>
      </c>
      <c r="DL50" s="36">
        <f ca="1">(BJ50-DM50)/(DN50-DM50)</f>
        <v>0.71760662377585893</v>
      </c>
      <c r="DM50" s="18">
        <f t="shared" ca="1" si="70"/>
        <v>9.993955811989867</v>
      </c>
      <c r="DN50" s="18">
        <f t="shared" ca="1" si="71"/>
        <v>10.12779541829781</v>
      </c>
      <c r="DO50" s="9"/>
      <c r="DP50" s="9"/>
      <c r="DQ50" s="94">
        <v>1.001229466162416E-2</v>
      </c>
      <c r="DR50" s="94">
        <v>5.2372002845418692E-3</v>
      </c>
      <c r="DS50" s="94">
        <v>5.3738376319021472E-3</v>
      </c>
      <c r="DT50" s="94">
        <f t="shared" ca="1" si="12"/>
        <v>1.3032094090354718E-2</v>
      </c>
      <c r="DU50" s="87">
        <f ca="1">(BJ50-CF50)/(CF50-CE50)</f>
        <v>0.34146466853725715</v>
      </c>
      <c r="DV50" s="46"/>
      <c r="DW50" s="43">
        <f>_xlfn.STDEV.P(BF50:BI50)</f>
        <v>0.46124830622995222</v>
      </c>
      <c r="DX50" s="76">
        <f ca="1">BO50-$DT$2</f>
        <v>-1.3583000000000001</v>
      </c>
      <c r="DY50" s="76">
        <f ca="1">BO50-BP50*100</f>
        <v>1.3915000000000002</v>
      </c>
      <c r="DZ50" s="101"/>
      <c r="EA50" s="100">
        <v>-3.9158999999999997</v>
      </c>
      <c r="EB50" s="107">
        <v>5.841899999999999</v>
      </c>
      <c r="EC50" s="107">
        <v>1.6631</v>
      </c>
      <c r="ED50" s="98">
        <f t="shared" ca="1" si="13"/>
        <v>-2.7498000000000005</v>
      </c>
      <c r="EE50" s="66"/>
      <c r="EF50" s="66"/>
      <c r="EH50" s="2" t="e" vm="50">
        <v>#VALUE!</v>
      </c>
      <c r="EJ50" s="10" cm="1">
        <f t="array" aca="1" ref="EJ50" ca="1">_FV(EH50,"Ações em circulação",TRUE)</f>
        <v>96226960</v>
      </c>
      <c r="EK50" s="21">
        <f>VLOOKUP(BK50,Fundamentus!A:U,5,FALSE)</f>
        <v>14.282999999999999</v>
      </c>
      <c r="EL50" s="2">
        <f ca="1">(BJ50*EJ50)/EK50</f>
        <v>67978017.671357557</v>
      </c>
      <c r="EM50" s="20">
        <v>9928866.5662115794</v>
      </c>
      <c r="EN50" s="20">
        <f t="shared" ca="1" si="14"/>
        <v>9754845.5358398091</v>
      </c>
      <c r="EP50" s="19">
        <f t="shared" ca="1" si="15"/>
        <v>-1.7526777020447915E-2</v>
      </c>
      <c r="EQ50" s="40" t="str">
        <f>IF(VLOOKUP(BK50,Fundamentus!A:U,3,FALSE)&lt;15,"Bom",IF(VLOOKUP(BK50,Fundamentus!A:U,3,FALSE)&gt;15,"Ruim","n/a"))</f>
        <v>Ruim</v>
      </c>
      <c r="ER50" s="36" t="str">
        <f>IF(VLOOKUP(BK50,Fundamentus!A:U,4,FALSE)&lt;1,"Baixo",IF(VLOOKUP(BK50,Fundamentus!A:U,4,FALSE)&lt;1.5,"Moderado",IF(VLOOKUP(BK50,Fundamentus!A:U,4,FALSE)&gt;1.5,"Alto","n/a")))</f>
        <v>Moderado</v>
      </c>
      <c r="ES50" s="20" t="str">
        <f>IF(VLOOKUP(BK50,Fundamentus!A:U,8,FALSE)&lt;0,"Risco elevado",IF(VLOOKUP(BK50,Fundamentus!A:U,8,FALSE)&lt;1,"Saudável",IF(VLOOKUP(BK50,Fundamentus!A:U,8,FALSE)&lt;3,"Estável",IF(VLOOKUP(BK50,Fundamentus!A:U,8,FALSE)&gt;3,"Alerta","n/a"))))</f>
        <v>Risco elevado</v>
      </c>
      <c r="ET50" s="36" t="str">
        <f t="shared" si="16"/>
        <v>Bom</v>
      </c>
      <c r="EU50" s="20" t="str">
        <f>IF(VLOOKUP(BK50,Fundamentus!A:U,12,FALSE)&lt;2,"Subvalorizada",IF(VLOOKUP(BK50,Fundamentus!A:U,12,FALSE)&lt;6,"Muita barata",IF(VLOOKUP(BK50,Fundamentus!A:U,12,FALSE)&lt;6,"Barata",IF(VLOOKUP(BK50,Fundamentus!A:U,12,FALSE)&lt;8,"Atrativa",IF(VLOOKUP(BK50,Fundamentus!A:U,12,FALSE)&gt;8,"Supervalorizada","n/a")))))</f>
        <v>Supervalorizada</v>
      </c>
      <c r="EW50" s="20" t="str">
        <f>IF(VLOOKUP(BK50,Fundamentus!A:U,17,FALSE)&lt;0.1,"Fraco retorno",IF(VLOOKUP(BK50,Fundamentus!A:U,17,FALSE)&gt;0.1,"Bom retorno","n/a"))</f>
        <v>Fraco retorno</v>
      </c>
      <c r="EX50" s="20" t="str">
        <f>IF(VLOOKUP(BK50,Fundamentus!A:U,16,FALSE)&lt;0.1,"Ineficiente",IF(VLOOKUP(BK50,Fundamentus!A:U,16,FALSE)&gt;0.1,"Eficiente","n/a"))</f>
        <v>Ineficiente</v>
      </c>
      <c r="EY50" s="41" t="str">
        <f>IF(VLOOKUP(BK50,Fundamentus!A:U,16,FALSE)&lt;0.1,"Oper. Ineficiente",IF(VLOOKUP(BK50,Fundamentus!A:U,16,FALSE)&gt;0.1,"Oper.Eficiente","n/a"))</f>
        <v>Oper. Ineficiente</v>
      </c>
      <c r="EZ50" s="42">
        <f>VLOOKUP(BK50,Fundamentus!A:U,14,FALSE)</f>
        <v>0.14349999999999999</v>
      </c>
      <c r="FA50" s="20" t="str">
        <f>IF(VLOOKUP(BK50,Fundamentus!A:U,21,FALSE)&lt;0,"Negativo",IF(VLOOKUP(BK50,Fundamentus!A:U,21,FALSE)&lt;0.05,"Fraco",IF(VLOOKUP(BK50,Fundamentus!A:U,21,FALSE)&lt;0.1,"Bom",IF(VLOOKUP(BK50,Fundamentus!A:U,21,FALSE)&gt;0.1,"Muito bom","n/a"))))</f>
        <v>Negativo</v>
      </c>
      <c r="FC50" s="37" t="str">
        <f>IF(VLOOKUP(BK50,Fundamentus!A:U,15,FALSE)&gt;1,"Bom",IF(VLOOKUP(BK50,Fundamentus!A:U,15,FALSE)&lt;1,"Ruim","n/a"))</f>
        <v>Ruim</v>
      </c>
      <c r="FD50" s="20" t="str">
        <f>IF(VLOOKUP(BK50,Fundamentus!A:U,20,FALSE)&lt;0.5,"Baixa",IF(VLOOKUP(BK50,Fundamentus!A:U,20,FALSE)&lt;1,"Moderada",IF(VLOOKUP(BK50,Fundamentus!A:U,20,FALSE)&lt;2,"Alerta",IF(VLOOKUP(BK50,Fundamentus!A:U,20,FALSE)&gt;2,"Alta","n/a"))))</f>
        <v>Baixa</v>
      </c>
    </row>
    <row r="51" spans="1:160" s="2" customFormat="1" ht="11.25" hidden="1"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8">
        <v>14.9</v>
      </c>
      <c r="BC51" s="62">
        <v>15.71</v>
      </c>
      <c r="BD51" s="62">
        <v>15.45</v>
      </c>
      <c r="BE51" s="62">
        <v>15.25</v>
      </c>
      <c r="BF51" s="62">
        <v>16.690000000000001</v>
      </c>
      <c r="BG51" s="81">
        <v>16.760000000000002</v>
      </c>
      <c r="BH51" s="62">
        <v>16.010000000000002</v>
      </c>
      <c r="BI51" s="62">
        <v>15.9</v>
      </c>
      <c r="BJ51" s="62" cm="1">
        <f t="array" aca="1" ref="BJ51" ca="1">_FV(EH51,"Preço")</f>
        <v>16.03</v>
      </c>
      <c r="BK51" s="83" t="s">
        <v>48</v>
      </c>
      <c r="BL51" s="44" cm="1">
        <f t="array" aca="1" ref="BL51" ca="1">_FV(EH51,"Média de volume",TRUE)</f>
        <v>9003070</v>
      </c>
      <c r="BM51" s="44">
        <v>11167100</v>
      </c>
      <c r="BN51" s="44" cm="1">
        <f t="array" aca="1" ref="BN51" ca="1">_FV(EH51,"Volume")</f>
        <v>2221600</v>
      </c>
      <c r="BO51" s="32" cm="1">
        <f t="array" aca="1" ref="BO51" ca="1">_FV(EH51,"Beta")</f>
        <v>0.65069999999999995</v>
      </c>
      <c r="BP51" s="86" cm="1">
        <f t="array" aca="1" ref="BP51" ca="1">_FV(EH51,"Variação (%)",TRUE)</f>
        <v>8.1759999999999992E-3</v>
      </c>
      <c r="BQ51" s="48"/>
      <c r="BR51" s="48"/>
      <c r="BT51" s="20" cm="1">
        <f t="array" aca="1" ref="BT51" ca="1">_FV(EH51,"Baixo")</f>
        <v>15.78</v>
      </c>
      <c r="BU51" s="20" cm="1">
        <f t="array" aca="1" ref="BU51" ca="1">_FV(EH51,"Alto")</f>
        <v>16.100000000000001</v>
      </c>
      <c r="BV51" s="32"/>
      <c r="BW51" s="73">
        <f ca="1">SQRT(22.5*(BJ51/VLOOKUP(BK51,Fundamentus!A:U,3,FALSE))*(BJ51/VLOOKUP(BK51,Fundamentus!A:U,4,FALSE)))</f>
        <v>30.203139610155507</v>
      </c>
      <c r="BY51" s="72">
        <f t="shared" ca="1" si="0"/>
        <v>8.1761006289308661E-3</v>
      </c>
      <c r="BZ51" s="8"/>
      <c r="CA51" s="71">
        <f t="shared" si="36"/>
        <v>14.68</v>
      </c>
      <c r="CB51" s="71">
        <f t="shared" si="1"/>
        <v>20.47</v>
      </c>
      <c r="CC51" s="71">
        <f t="shared" si="37"/>
        <v>17.615163934426231</v>
      </c>
      <c r="CD51" s="17"/>
      <c r="CE51" s="43">
        <f t="shared" si="19"/>
        <v>14.784500161186292</v>
      </c>
      <c r="CF51" s="18">
        <f>FORECAST("04/07/2025", BF51:BI51, $BF$5:$BI$5)</f>
        <v>15.559999999999945</v>
      </c>
      <c r="CG51" s="43">
        <f t="shared" si="20"/>
        <v>16.335499838813597</v>
      </c>
      <c r="CI51" s="17"/>
      <c r="CJ51" s="20">
        <f>CA51-2*(CB51-CM51)</f>
        <v>7.7733333333333334</v>
      </c>
      <c r="CK51" s="20">
        <f>CM51-(CB51-CA51)</f>
        <v>11.226666666666667</v>
      </c>
      <c r="CL51" s="20">
        <f>2*CM51-CB51</f>
        <v>13.563333333333333</v>
      </c>
      <c r="CM51" s="48">
        <f>(CB51+CA51+BI51)/3</f>
        <v>17.016666666666666</v>
      </c>
      <c r="CN51" s="20">
        <f>2*CM51-CA51</f>
        <v>19.353333333333332</v>
      </c>
      <c r="CO51" s="20">
        <f>CM51+(CB51-CA51)</f>
        <v>22.806666666666665</v>
      </c>
      <c r="CP51" s="20">
        <f>CB51+2*(CM51-CA51)</f>
        <v>25.143333333333331</v>
      </c>
      <c r="CQ51" s="2" cm="1">
        <f t="array" aca="1" ref="CQ51" ca="1">MAX(_xlfn._xlws.FILTER(CJ51:CP51,CJ51:CP51&lt;BJ51))</f>
        <v>13.563333333333333</v>
      </c>
      <c r="CR51" s="2" cm="1">
        <f t="array" aca="1" ref="CR51" ca="1">MIN(_xlfn._xlws.FILTER($CJ51:$CP51,$CJ51:$CP51&gt;BJ51))</f>
        <v>17.016666666666666</v>
      </c>
      <c r="CS51" s="19">
        <f t="shared" ref="CS51:CS82" ca="1" si="72">(CR51/CQ51)-1</f>
        <v>0.25460801179651016</v>
      </c>
      <c r="CT51" s="23">
        <f t="shared" ref="CT51:CT82" ca="1" si="73">-$CS51/2</f>
        <v>-0.12730400589825508</v>
      </c>
      <c r="CU51" s="23">
        <f t="shared" ref="CU51:CU82" ca="1" si="74">-$CS51/3</f>
        <v>-8.4869337265503386E-2</v>
      </c>
      <c r="CV51" s="23">
        <f t="shared" ref="CV51:CV82" ca="1" si="75">-$CS51/5</f>
        <v>-5.0921602359302029E-2</v>
      </c>
      <c r="CW51" s="23">
        <f t="shared" ref="CW51:CW82" ca="1" si="76">-$CS51/9</f>
        <v>-2.8289779088501128E-2</v>
      </c>
      <c r="CX51" s="23">
        <f t="shared" ref="CX51:CX82" ca="1" si="77">-$CS51/17</f>
        <v>-1.497694187038295E-2</v>
      </c>
      <c r="CY51" s="23">
        <f t="shared" ref="CY51:CY82" ca="1" si="78">-$CS51/33</f>
        <v>-7.7153942968639444E-3</v>
      </c>
      <c r="CZ51" s="23">
        <f t="shared" ref="CZ51:CZ82" ca="1" si="79">-$CS51/65</f>
        <v>-3.9170463353309258E-3</v>
      </c>
      <c r="DA51" s="24">
        <f t="shared" ref="DA51:DA82" ca="1" si="80">-$CS51/65*-1</f>
        <v>3.9170463353309258E-3</v>
      </c>
      <c r="DB51" s="24">
        <f t="shared" ref="DB51:DB82" ca="1" si="81">-$CS51/33*-1</f>
        <v>7.7153942968639444E-3</v>
      </c>
      <c r="DC51" s="24">
        <f t="shared" ref="DC51:DC82" ca="1" si="82">-$CS51/17*-1</f>
        <v>1.497694187038295E-2</v>
      </c>
      <c r="DD51" s="24">
        <f t="shared" ref="DD51:DD82" ca="1" si="83">-$CS51/9*-1</f>
        <v>2.8289779088501128E-2</v>
      </c>
      <c r="DE51" s="24">
        <f t="shared" ref="DE51:DE82" ca="1" si="84">-$CS51/5*-1</f>
        <v>5.0921602359302029E-2</v>
      </c>
      <c r="DF51" s="24">
        <f t="shared" ref="DF51:DF82" ca="1" si="85">-$CS51/3*-1</f>
        <v>8.4869337265503386E-2</v>
      </c>
      <c r="DG51" s="24">
        <f t="shared" ref="DG51:DG82" ca="1" si="86">-$CS51/2*-1</f>
        <v>0.12730400589825508</v>
      </c>
      <c r="DI51" s="19" cm="1">
        <f t="array" aca="1" ref="DI51" ca="1">MAX(_xlfn._xlws.FILTER(CT51:DG51,CT51:DG51&lt;BP51))</f>
        <v>7.7153942968639444E-3</v>
      </c>
      <c r="DJ51" s="19" cm="1">
        <f t="array" aca="1" ref="DJ51" ca="1">MIN(_xlfn._xlws.FILTER(CT51:DG51,CT51:DG51&gt;BP51))</f>
        <v>1.497694187038295E-2</v>
      </c>
      <c r="DK51" s="2" cm="1">
        <f t="array" aca="1" ref="DK51" ca="1">_FV(EH51,"Fechamento anterior",TRUE)</f>
        <v>15.9</v>
      </c>
      <c r="DL51" s="36">
        <f ca="1">(BJ51-DM51)/(DN51-DM51)</f>
        <v>6.344464832083764E-2</v>
      </c>
      <c r="DM51" s="18">
        <f t="shared" ref="DM51:DM82" ca="1" si="87">DK51+(DK51*DI51)</f>
        <v>16.022674769320137</v>
      </c>
      <c r="DN51" s="18">
        <f t="shared" ref="DN51:DN82" ca="1" si="88">DK51+(DK51*DJ51)</f>
        <v>16.138133375739088</v>
      </c>
      <c r="DO51" s="9"/>
      <c r="DP51" s="9"/>
      <c r="DQ51" s="94">
        <v>1.5041059158706214E-2</v>
      </c>
      <c r="DR51" s="94">
        <v>4.2123402422095642E-3</v>
      </c>
      <c r="DS51" s="94">
        <v>6.3886993995042902E-3</v>
      </c>
      <c r="DT51" s="94">
        <f t="shared" ca="1" si="12"/>
        <v>7.2615475735190059E-3</v>
      </c>
      <c r="DU51" s="87">
        <f ca="1">(BJ51-CF51)/(CF51-CE51)</f>
        <v>0.60606073202936306</v>
      </c>
      <c r="DV51" s="46"/>
      <c r="DW51" s="43">
        <f>_xlfn.STDEV.P(BF51:BI51)</f>
        <v>0.38774991940682618</v>
      </c>
      <c r="DX51" s="76">
        <f ca="1">BO51-$DT$2</f>
        <v>-0.34640000000000015</v>
      </c>
      <c r="DY51" s="76">
        <f ca="1">BO51-BP51*100</f>
        <v>-0.16689999999999994</v>
      </c>
      <c r="DZ51" s="101"/>
      <c r="EA51" s="100">
        <v>-1.2452000000000001</v>
      </c>
      <c r="EB51" s="107">
        <v>-2.1959999999999997</v>
      </c>
      <c r="EC51" s="107">
        <v>-0.8153999999999999</v>
      </c>
      <c r="ED51" s="98">
        <f t="shared" ca="1" si="13"/>
        <v>-0.17950000000000021</v>
      </c>
      <c r="EE51" s="66"/>
      <c r="EF51" s="66"/>
      <c r="EH51" s="2" t="e" vm="51">
        <v>#VALUE!</v>
      </c>
      <c r="EJ51" s="10" cm="1">
        <f t="array" aca="1" ref="EJ51" ca="1">_FV(EH51,"Ações em circulação",TRUE)</f>
        <v>2028195000</v>
      </c>
      <c r="EK51" s="21">
        <f>VLOOKUP(BK51,Fundamentus!A:U,5,FALSE)</f>
        <v>0.498</v>
      </c>
      <c r="EL51" s="2">
        <f ca="1">(BJ51*EJ51)/EK51</f>
        <v>65285071987.951813</v>
      </c>
      <c r="EM51" s="20">
        <v>3140647739.4578314</v>
      </c>
      <c r="EN51" s="20">
        <f t="shared" ca="1" si="14"/>
        <v>3166325991.4156632</v>
      </c>
      <c r="EP51" s="19">
        <f t="shared" ca="1" si="15"/>
        <v>8.1761006289309268E-3</v>
      </c>
      <c r="EQ51" s="40" t="str">
        <f>IF(VLOOKUP(BK51,Fundamentus!A:U,3,FALSE)&lt;15,"Bom",IF(VLOOKUP(BK51,Fundamentus!A:U,3,FALSE)&gt;15,"Ruim","n/a"))</f>
        <v>Bom</v>
      </c>
      <c r="ER51" s="36" t="str">
        <f>IF(VLOOKUP(BK51,Fundamentus!A:U,4,FALSE)&lt;1,"Baixo",IF(VLOOKUP(BK51,Fundamentus!A:U,4,FALSE)&lt;1.5,"Moderado",IF(VLOOKUP(BK51,Fundamentus!A:U,4,FALSE)&gt;1.5,"Alto","n/a")))</f>
        <v>Baixo</v>
      </c>
      <c r="ES51" s="20" t="str">
        <f>IF(VLOOKUP(BK51,Fundamentus!A:U,8,FALSE)&lt;0,"Risco elevado",IF(VLOOKUP(BK51,Fundamentus!A:U,8,FALSE)&lt;1,"Saudável",IF(VLOOKUP(BK51,Fundamentus!A:U,8,FALSE)&lt;3,"Estável",IF(VLOOKUP(BK51,Fundamentus!A:U,8,FALSE)&gt;3,"Alerta","n/a"))))</f>
        <v>Estável</v>
      </c>
      <c r="ET51" s="36" t="str">
        <f t="shared" si="16"/>
        <v>Ruim</v>
      </c>
      <c r="EU51" s="20" t="str">
        <f>IF(VLOOKUP(BK51,Fundamentus!A:U,12,FALSE)&lt;2,"Subvalorizada",IF(VLOOKUP(BK51,Fundamentus!A:U,12,FALSE)&lt;6,"Muita barata",IF(VLOOKUP(BK51,Fundamentus!A:U,12,FALSE)&lt;6,"Barata",IF(VLOOKUP(BK51,Fundamentus!A:U,12,FALSE)&lt;8,"Atrativa",IF(VLOOKUP(BK51,Fundamentus!A:U,12,FALSE)&gt;8,"Supervalorizada","n/a")))))</f>
        <v>Muita barata</v>
      </c>
      <c r="EW51" s="20" t="str">
        <f>IF(VLOOKUP(BK51,Fundamentus!A:U,17,FALSE)&lt;0.1,"Fraco retorno",IF(VLOOKUP(BK51,Fundamentus!A:U,17,FALSE)&gt;0.1,"Bom retorno","n/a"))</f>
        <v>Fraco retorno</v>
      </c>
      <c r="EX51" s="20" t="str">
        <f>IF(VLOOKUP(BK51,Fundamentus!A:U,16,FALSE)&lt;0.1,"Ineficiente",IF(VLOOKUP(BK51,Fundamentus!A:U,16,FALSE)&gt;0.1,"Eficiente","n/a"))</f>
        <v>Ineficiente</v>
      </c>
      <c r="EY51" s="41" t="str">
        <f>IF(VLOOKUP(BK51,Fundamentus!A:U,16,FALSE)&lt;0.1,"Oper. Ineficiente",IF(VLOOKUP(BK51,Fundamentus!A:U,16,FALSE)&gt;0.1,"Oper.Eficiente","n/a"))</f>
        <v>Oper. Ineficiente</v>
      </c>
      <c r="EZ51" s="42">
        <f>VLOOKUP(BK51,Fundamentus!A:U,14,FALSE)</f>
        <v>4.8500000000000001E-2</v>
      </c>
      <c r="FA51" s="20" t="str">
        <f>IF(VLOOKUP(BK51,Fundamentus!A:U,21,FALSE)&lt;0,"Negativo",IF(VLOOKUP(BK51,Fundamentus!A:U,21,FALSE)&lt;0.05,"Fraco",IF(VLOOKUP(BK51,Fundamentus!A:U,21,FALSE)&lt;0.1,"Bom",IF(VLOOKUP(BK51,Fundamentus!A:U,21,FALSE)&gt;0.1,"Muito bom","n/a"))))</f>
        <v>Fraco</v>
      </c>
      <c r="FC51" s="37" t="str">
        <f>IF(VLOOKUP(BK51,Fundamentus!A:U,15,FALSE)&gt;1,"Bom",IF(VLOOKUP(BK51,Fundamentus!A:U,15,FALSE)&lt;1,"Ruim","n/a"))</f>
        <v>Bom</v>
      </c>
      <c r="FD51" s="20" t="str">
        <f>IF(VLOOKUP(BK51,Fundamentus!A:U,20,FALSE)&lt;0.5,"Baixa",IF(VLOOKUP(BK51,Fundamentus!A:U,20,FALSE)&lt;1,"Moderada",IF(VLOOKUP(BK51,Fundamentus!A:U,20,FALSE)&lt;2,"Alerta",IF(VLOOKUP(BK51,Fundamentus!A:U,20,FALSE)&gt;2,"Alta","n/a"))))</f>
        <v>Baixa</v>
      </c>
    </row>
    <row r="52" spans="1:160" s="5" customFormat="1" ht="11.25" hidden="1"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8">
        <v>10.6</v>
      </c>
      <c r="BC52" s="62">
        <v>11.14</v>
      </c>
      <c r="BD52" s="62">
        <v>11.14</v>
      </c>
      <c r="BE52" s="62">
        <v>11.07</v>
      </c>
      <c r="BF52" s="62">
        <v>10.81</v>
      </c>
      <c r="BG52" s="81">
        <v>10.71</v>
      </c>
      <c r="BH52" s="62">
        <v>10.81</v>
      </c>
      <c r="BI52" s="62">
        <v>10.71</v>
      </c>
      <c r="BJ52" s="62" cm="1">
        <f t="array" aca="1" ref="BJ52" ca="1">_FV(EH52,"Preço")</f>
        <v>10.86</v>
      </c>
      <c r="BK52" s="83" t="s">
        <v>49</v>
      </c>
      <c r="BL52" s="44" cm="1">
        <f t="array" aca="1" ref="BL52" ca="1">_FV(EH52,"Média de volume",TRUE)</f>
        <v>25306390</v>
      </c>
      <c r="BM52" s="44">
        <v>16244000</v>
      </c>
      <c r="BN52" s="44" cm="1">
        <f t="array" aca="1" ref="BN52" ca="1">_FV(EH52,"Volume")</f>
        <v>11320700</v>
      </c>
      <c r="BO52" s="32" cm="1">
        <f t="array" aca="1" ref="BO52" ca="1">_FV(EH52,"Beta")</f>
        <v>1.1940999999999999</v>
      </c>
      <c r="BP52" s="86" cm="1">
        <f t="array" aca="1" ref="BP52" ca="1">_FV(EH52,"Variação (%)",TRUE)</f>
        <v>1.4006000000000001E-2</v>
      </c>
      <c r="BQ52" s="48"/>
      <c r="BR52" s="48"/>
      <c r="BT52" s="20" cm="1">
        <f t="array" aca="1" ref="BT52" ca="1">_FV(EH52,"Baixo")</f>
        <v>10.65</v>
      </c>
      <c r="BU52" s="20" cm="1">
        <f t="array" aca="1" ref="BU52" ca="1">_FV(EH52,"Alto")</f>
        <v>10.87</v>
      </c>
      <c r="BV52" s="32"/>
      <c r="BW52" s="73">
        <f ca="1">SQRT(22.5*(BJ52/VLOOKUP(BK52,Fundamentus!A:U,3,FALSE))*(BJ52/VLOOKUP(BK52,Fundamentus!A:U,4,FALSE)))</f>
        <v>15.819411397011157</v>
      </c>
      <c r="BY52" s="72">
        <f t="shared" ca="1" si="0"/>
        <v>1.4005602240896226E-2</v>
      </c>
      <c r="BZ52" s="8"/>
      <c r="CA52" s="71">
        <f t="shared" si="36"/>
        <v>8.5299999999999994</v>
      </c>
      <c r="CB52" s="71">
        <f t="shared" si="1"/>
        <v>11.2</v>
      </c>
      <c r="CC52" s="71">
        <f t="shared" si="37"/>
        <v>10.056065573770491</v>
      </c>
      <c r="CD52" s="17"/>
      <c r="CE52" s="43">
        <f t="shared" si="19"/>
        <v>10.60999999999998</v>
      </c>
      <c r="CF52" s="18">
        <f>FORECAST("04/07/2025", BF52:BI52, $BF$5:$BI$5)</f>
        <v>10.70999999999998</v>
      </c>
      <c r="CG52" s="43">
        <f t="shared" si="20"/>
        <v>10.809999999999979</v>
      </c>
      <c r="CI52" s="17"/>
      <c r="CJ52" s="20">
        <f>CA52-2*(CB52-CM52)</f>
        <v>6.4233333333333338</v>
      </c>
      <c r="CK52" s="20">
        <f>CM52-(CB52-CA52)</f>
        <v>7.4766666666666666</v>
      </c>
      <c r="CL52" s="20">
        <f>2*CM52-CB52</f>
        <v>9.0933333333333337</v>
      </c>
      <c r="CM52" s="48">
        <f>(CB52+CA52+BI52)/3</f>
        <v>10.146666666666667</v>
      </c>
      <c r="CN52" s="20">
        <f>2*CM52-CA52</f>
        <v>11.763333333333334</v>
      </c>
      <c r="CO52" s="20">
        <f>CM52+(CB52-CA52)</f>
        <v>12.816666666666666</v>
      </c>
      <c r="CP52" s="20">
        <f>CB52+2*(CM52-CA52)</f>
        <v>14.433333333333334</v>
      </c>
      <c r="CQ52" s="2" cm="1">
        <f t="array" aca="1" ref="CQ52" ca="1">MAX(_xlfn._xlws.FILTER(CJ52:CP52,CJ52:CP52&lt;BJ52))</f>
        <v>10.146666666666667</v>
      </c>
      <c r="CR52" s="2" cm="1">
        <f t="array" aca="1" ref="CR52" ca="1">MIN(_xlfn._xlws.FILTER($CJ52:$CP52,$CJ52:$CP52&gt;BJ52))</f>
        <v>11.763333333333334</v>
      </c>
      <c r="CS52" s="19">
        <f t="shared" ca="1" si="72"/>
        <v>0.15932982917214189</v>
      </c>
      <c r="CT52" s="23">
        <f t="shared" ca="1" si="73"/>
        <v>-7.9664914586070945E-2</v>
      </c>
      <c r="CU52" s="23">
        <f t="shared" ca="1" si="74"/>
        <v>-5.3109943057380628E-2</v>
      </c>
      <c r="CV52" s="23">
        <f t="shared" ca="1" si="75"/>
        <v>-3.1865965834428377E-2</v>
      </c>
      <c r="CW52" s="23">
        <f t="shared" ca="1" si="76"/>
        <v>-1.7703314352460212E-2</v>
      </c>
      <c r="CX52" s="23">
        <f t="shared" ca="1" si="77"/>
        <v>-9.372342892478935E-3</v>
      </c>
      <c r="CY52" s="23">
        <f t="shared" ca="1" si="78"/>
        <v>-4.8281766415800573E-3</v>
      </c>
      <c r="CZ52" s="23">
        <f t="shared" ca="1" si="79"/>
        <v>-2.4512281411098753E-3</v>
      </c>
      <c r="DA52" s="24">
        <f t="shared" ca="1" si="80"/>
        <v>2.4512281411098753E-3</v>
      </c>
      <c r="DB52" s="24">
        <f t="shared" ca="1" si="81"/>
        <v>4.8281766415800573E-3</v>
      </c>
      <c r="DC52" s="24">
        <f t="shared" ca="1" si="82"/>
        <v>9.372342892478935E-3</v>
      </c>
      <c r="DD52" s="24">
        <f t="shared" ca="1" si="83"/>
        <v>1.7703314352460212E-2</v>
      </c>
      <c r="DE52" s="24">
        <f t="shared" ca="1" si="84"/>
        <v>3.1865965834428377E-2</v>
      </c>
      <c r="DF52" s="24">
        <f t="shared" ca="1" si="85"/>
        <v>5.3109943057380628E-2</v>
      </c>
      <c r="DG52" s="24">
        <f t="shared" ca="1" si="86"/>
        <v>7.9664914586070945E-2</v>
      </c>
      <c r="DI52" s="19" cm="1">
        <f t="array" aca="1" ref="DI52" ca="1">MAX(_xlfn._xlws.FILTER(CT52:DG52,CT52:DG52&lt;BP52))</f>
        <v>9.372342892478935E-3</v>
      </c>
      <c r="DJ52" s="19" cm="1">
        <f t="array" aca="1" ref="DJ52" ca="1">MIN(_xlfn._xlws.FILTER(CT52:DG52,CT52:DG52&gt;BP52))</f>
        <v>1.7703314352460212E-2</v>
      </c>
      <c r="DK52" s="2" cm="1">
        <f t="array" aca="1" ref="DK52" ca="1">_FV(EH52,"Fechamento anterior",TRUE)</f>
        <v>10.71</v>
      </c>
      <c r="DL52" s="36">
        <f ca="1">(BJ52-DM52)/(DN52-DM52)</f>
        <v>0.55614874815903947</v>
      </c>
      <c r="DM52" s="18">
        <f t="shared" ca="1" si="87"/>
        <v>10.81037779237845</v>
      </c>
      <c r="DN52" s="18">
        <f t="shared" ca="1" si="88"/>
        <v>10.89960249671485</v>
      </c>
      <c r="DO52" s="9"/>
      <c r="DP52" s="9"/>
      <c r="DQ52" s="94">
        <v>4.1233893010542786E-3</v>
      </c>
      <c r="DR52" s="94">
        <v>4.1233893010542786E-3</v>
      </c>
      <c r="DS52" s="94">
        <v>8.3309714599812765E-3</v>
      </c>
      <c r="DT52" s="94">
        <f t="shared" ca="1" si="12"/>
        <v>8.3309714599812765E-3</v>
      </c>
      <c r="DU52" s="87">
        <f ca="1">(BJ52-CF52)/(CF52-CE52)</f>
        <v>1.5000000000002043</v>
      </c>
      <c r="DV52" s="46"/>
      <c r="DW52" s="43">
        <f>_xlfn.STDEV.P(BF52:BI52)</f>
        <v>4.9999999999999822E-2</v>
      </c>
      <c r="DX52" s="76">
        <f ca="1">BO52-$DT$2</f>
        <v>0.19699999999999984</v>
      </c>
      <c r="DY52" s="76">
        <f ca="1">BO52-BP52*100</f>
        <v>-0.20650000000000013</v>
      </c>
      <c r="DZ52" s="101"/>
      <c r="EA52" s="100">
        <v>0.75949999999999995</v>
      </c>
      <c r="EB52" s="107">
        <v>0.4161999999999999</v>
      </c>
      <c r="EC52" s="107">
        <v>-9.8399999999999821E-2</v>
      </c>
      <c r="ED52" s="98">
        <f t="shared" ca="1" si="13"/>
        <v>0.40349999999999997</v>
      </c>
      <c r="EE52" s="66"/>
      <c r="EF52" s="66"/>
      <c r="EH52" s="5" t="e" vm="52">
        <v>#VALUE!</v>
      </c>
      <c r="EJ52" s="10" cm="1">
        <f t="array" aca="1" ref="EJ52" ca="1">_FV(EH52,"Ações em circulação",TRUE)</f>
        <v>10993810000</v>
      </c>
      <c r="EK52" s="21">
        <f>VLOOKUP(BK52,Fundamentus!A:U,5,FALSE)</f>
        <v>14.356</v>
      </c>
      <c r="EL52" s="2">
        <f ca="1">(BJ52*EJ52)/EK52</f>
        <v>8316576804.1237116</v>
      </c>
      <c r="EM52" s="20">
        <v>15386402254.639177</v>
      </c>
      <c r="EN52" s="20">
        <f t="shared" ca="1" si="14"/>
        <v>15601898084.536081</v>
      </c>
      <c r="EO52" s="2"/>
      <c r="EP52" s="19">
        <f t="shared" ca="1" si="15"/>
        <v>1.4005602240896087E-2</v>
      </c>
      <c r="EQ52" s="40" t="str">
        <f>IF(VLOOKUP(BK52,Fundamentus!A:U,3,FALSE)&lt;15,"Bom",IF(VLOOKUP(BK52,Fundamentus!A:U,3,FALSE)&gt;15,"Ruim","n/a"))</f>
        <v>Bom</v>
      </c>
      <c r="ER52" s="36" t="str">
        <f>IF(VLOOKUP(BK52,Fundamentus!A:U,4,FALSE)&lt;1,"Baixo",IF(VLOOKUP(BK52,Fundamentus!A:U,4,FALSE)&lt;1.5,"Moderado",IF(VLOOKUP(BK52,Fundamentus!A:U,4,FALSE)&gt;1.5,"Alto","n/a")))</f>
        <v>Moderado</v>
      </c>
      <c r="ES52" s="20" t="str">
        <f>IF(VLOOKUP(BK52,Fundamentus!A:U,8,FALSE)&lt;0,"Risco elevado",IF(VLOOKUP(BK52,Fundamentus!A:U,8,FALSE)&lt;1,"Saudável",IF(VLOOKUP(BK52,Fundamentus!A:U,8,FALSE)&lt;3,"Estável",IF(VLOOKUP(BK52,Fundamentus!A:U,8,FALSE)&gt;3,"Alerta","n/a"))))</f>
        <v>Alerta</v>
      </c>
      <c r="ET52" s="36" t="str">
        <f t="shared" si="16"/>
        <v>Bom</v>
      </c>
      <c r="EU52" s="20" t="str">
        <f>IF(VLOOKUP(BK52,Fundamentus!A:U,12,FALSE)&lt;2,"Subvalorizada",IF(VLOOKUP(BK52,Fundamentus!A:U,12,FALSE)&lt;6,"Muita barata",IF(VLOOKUP(BK52,Fundamentus!A:U,12,FALSE)&lt;6,"Barata",IF(VLOOKUP(BK52,Fundamentus!A:U,12,FALSE)&lt;8,"Atrativa",IF(VLOOKUP(BK52,Fundamentus!A:U,12,FALSE)&gt;8,"Supervalorizada","n/a")))))</f>
        <v>Supervalorizada</v>
      </c>
      <c r="EV52" s="2"/>
      <c r="EW52" s="20" t="str">
        <f>IF(VLOOKUP(BK52,Fundamentus!A:U,17,FALSE)&lt;0.1,"Fraco retorno",IF(VLOOKUP(BK52,Fundamentus!A:U,17,FALSE)&gt;0.1,"Bom retorno","n/a"))</f>
        <v>Bom retorno</v>
      </c>
      <c r="EX52" s="20" t="str">
        <f>IF(VLOOKUP(BK52,Fundamentus!A:U,16,FALSE)&lt;0.1,"Ineficiente",IF(VLOOKUP(BK52,Fundamentus!A:U,16,FALSE)&gt;0.1,"Eficiente","n/a"))</f>
        <v>Ineficiente</v>
      </c>
      <c r="EY52" s="41" t="str">
        <f>IF(VLOOKUP(BK52,Fundamentus!A:U,16,FALSE)&lt;0.1,"Oper. Ineficiente",IF(VLOOKUP(BK52,Fundamentus!A:U,16,FALSE)&gt;0.1,"Oper.Eficiente","n/a"))</f>
        <v>Oper. Ineficiente</v>
      </c>
      <c r="EZ52" s="42">
        <f>VLOOKUP(BK52,Fundamentus!A:U,14,FALSE)</f>
        <v>1.8759999999999999</v>
      </c>
      <c r="FA52" s="20" t="str">
        <f>IF(VLOOKUP(BK52,Fundamentus!A:U,21,FALSE)&lt;0,"Negativo",IF(VLOOKUP(BK52,Fundamentus!A:U,21,FALSE)&lt;0.05,"Fraco",IF(VLOOKUP(BK52,Fundamentus!A:U,21,FALSE)&lt;0.1,"Bom",IF(VLOOKUP(BK52,Fundamentus!A:U,21,FALSE)&gt;0.1,"Muito bom","n/a"))))</f>
        <v>Fraco</v>
      </c>
      <c r="FC52" s="37" t="str">
        <f>IF(VLOOKUP(BK52,Fundamentus!A:U,15,FALSE)&gt;1,"Bom",IF(VLOOKUP(BK52,Fundamentus!A:U,15,FALSE)&lt;1,"Ruim","n/a"))</f>
        <v>Bom</v>
      </c>
      <c r="FD52" s="20" t="str">
        <f>IF(VLOOKUP(BK52,Fundamentus!A:U,20,FALSE)&lt;0.5,"Baixa",IF(VLOOKUP(BK52,Fundamentus!A:U,20,FALSE)&lt;1,"Moderada",IF(VLOOKUP(BK52,Fundamentus!A:U,20,FALSE)&lt;2,"Alerta",IF(VLOOKUP(BK52,Fundamentus!A:U,20,FALSE)&gt;2,"Alta","n/a"))))</f>
        <v>Baixa</v>
      </c>
    </row>
    <row r="53" spans="1:160" s="2" customFormat="1" ht="11.25" hidden="1"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8">
        <v>23.37</v>
      </c>
      <c r="BC53" s="62">
        <v>22.95</v>
      </c>
      <c r="BD53" s="62">
        <v>23.28</v>
      </c>
      <c r="BE53" s="62">
        <v>24.01</v>
      </c>
      <c r="BF53" s="62">
        <v>24.31</v>
      </c>
      <c r="BG53" s="81">
        <v>24.17</v>
      </c>
      <c r="BH53" s="62">
        <v>23.91</v>
      </c>
      <c r="BI53" s="62">
        <v>24.29</v>
      </c>
      <c r="BJ53" s="62" cm="1">
        <f t="array" aca="1" ref="BJ53" ca="1">_FV(EH53,"Preço")</f>
        <v>24.62</v>
      </c>
      <c r="BK53" s="83" t="s">
        <v>50</v>
      </c>
      <c r="BL53" s="44" cm="1">
        <f t="array" aca="1" ref="BL53" ca="1">_FV(EH53,"Média de volume",TRUE)</f>
        <v>4253930</v>
      </c>
      <c r="BM53" s="44">
        <v>2313900</v>
      </c>
      <c r="BN53" s="44" cm="1">
        <f t="array" aca="1" ref="BN53" ca="1">_FV(EH53,"Volume")</f>
        <v>419900</v>
      </c>
      <c r="BO53" s="32" cm="1">
        <f t="array" aca="1" ref="BO53" ca="1">_FV(EH53,"Beta")</f>
        <v>2.0943999999999998</v>
      </c>
      <c r="BP53" s="86" cm="1">
        <f t="array" aca="1" ref="BP53" ca="1">_FV(EH53,"Variação (%)",TRUE)</f>
        <v>1.3586000000000001E-2</v>
      </c>
      <c r="BQ53" s="48"/>
      <c r="BR53" s="48"/>
      <c r="BT53" s="20" cm="1">
        <f t="array" aca="1" ref="BT53" ca="1">_FV(EH53,"Baixo")</f>
        <v>24.2</v>
      </c>
      <c r="BU53" s="20" cm="1">
        <f t="array" aca="1" ref="BU53" ca="1">_FV(EH53,"Alto")</f>
        <v>24.74</v>
      </c>
      <c r="BV53" s="32"/>
      <c r="BW53" s="73">
        <f ca="1">SQRT(22.5*(BJ53/VLOOKUP(BK53,Fundamentus!A:U,3,FALSE))*(BJ53/VLOOKUP(BK53,Fundamentus!A:U,4,FALSE)))</f>
        <v>12.955956871599398</v>
      </c>
      <c r="BY53" s="72">
        <f t="shared" ca="1" si="0"/>
        <v>1.3585837793330665E-2</v>
      </c>
      <c r="BZ53" s="8"/>
      <c r="CA53" s="71">
        <f t="shared" si="36"/>
        <v>16.7</v>
      </c>
      <c r="CB53" s="71">
        <f t="shared" si="1"/>
        <v>25.46</v>
      </c>
      <c r="CC53" s="71">
        <f t="shared" si="37"/>
        <v>21.338524590163935</v>
      </c>
      <c r="CD53" s="17"/>
      <c r="CE53" s="43">
        <f t="shared" si="19"/>
        <v>23.771252450989849</v>
      </c>
      <c r="CF53" s="18">
        <f>FORECAST("04/07/2025", BF53:BI53, $BF$5:$BI$5)</f>
        <v>24.090000000000032</v>
      </c>
      <c r="CG53" s="43">
        <f t="shared" si="20"/>
        <v>24.408747549010215</v>
      </c>
      <c r="CI53" s="17"/>
      <c r="CJ53" s="20">
        <f>CA53-2*(CB53-CM53)</f>
        <v>10.079999999999988</v>
      </c>
      <c r="CK53" s="20">
        <f>CM53-(CB53-CA53)</f>
        <v>13.389999999999993</v>
      </c>
      <c r="CL53" s="20">
        <f>2*CM53-CB53</f>
        <v>18.839999999999989</v>
      </c>
      <c r="CM53" s="48">
        <f>(CB53+CA53+BI53)/3</f>
        <v>22.149999999999995</v>
      </c>
      <c r="CN53" s="20">
        <f>2*CM53-CA53</f>
        <v>27.599999999999991</v>
      </c>
      <c r="CO53" s="20">
        <f>CM53+(CB53-CA53)</f>
        <v>30.909999999999997</v>
      </c>
      <c r="CP53" s="20">
        <f>CB53+2*(CM53-CA53)</f>
        <v>36.359999999999992</v>
      </c>
      <c r="CQ53" s="2" cm="1">
        <f t="array" aca="1" ref="CQ53" ca="1">MAX(_xlfn._xlws.FILTER(CJ53:CP53,CJ53:CP53&lt;BJ53))</f>
        <v>22.149999999999995</v>
      </c>
      <c r="CR53" s="2" cm="1">
        <f t="array" aca="1" ref="CR53" ca="1">MIN(_xlfn._xlws.FILTER($CJ53:$CP53,$CJ53:$CP53&gt;BJ53))</f>
        <v>27.599999999999991</v>
      </c>
      <c r="CS53" s="19">
        <f t="shared" ca="1" si="72"/>
        <v>0.24604966139954842</v>
      </c>
      <c r="CT53" s="23">
        <f t="shared" ca="1" si="73"/>
        <v>-0.12302483069977421</v>
      </c>
      <c r="CU53" s="23">
        <f t="shared" ca="1" si="74"/>
        <v>-8.201655379984947E-2</v>
      </c>
      <c r="CV53" s="23">
        <f t="shared" ca="1" si="75"/>
        <v>-4.9209932279909684E-2</v>
      </c>
      <c r="CW53" s="23">
        <f t="shared" ca="1" si="76"/>
        <v>-2.733885126661649E-2</v>
      </c>
      <c r="CX53" s="23">
        <f t="shared" ca="1" si="77"/>
        <v>-1.4473509494091083E-2</v>
      </c>
      <c r="CY53" s="23">
        <f t="shared" ca="1" si="78"/>
        <v>-7.4560503454408613E-3</v>
      </c>
      <c r="CZ53" s="23">
        <f t="shared" ca="1" si="79"/>
        <v>-3.7853794061468988E-3</v>
      </c>
      <c r="DA53" s="24">
        <f t="shared" ca="1" si="80"/>
        <v>3.7853794061468988E-3</v>
      </c>
      <c r="DB53" s="24">
        <f t="shared" ca="1" si="81"/>
        <v>7.4560503454408613E-3</v>
      </c>
      <c r="DC53" s="24">
        <f t="shared" ca="1" si="82"/>
        <v>1.4473509494091083E-2</v>
      </c>
      <c r="DD53" s="24">
        <f t="shared" ca="1" si="83"/>
        <v>2.733885126661649E-2</v>
      </c>
      <c r="DE53" s="24">
        <f t="shared" ca="1" si="84"/>
        <v>4.9209932279909684E-2</v>
      </c>
      <c r="DF53" s="24">
        <f t="shared" ca="1" si="85"/>
        <v>8.201655379984947E-2</v>
      </c>
      <c r="DG53" s="24">
        <f t="shared" ca="1" si="86"/>
        <v>0.12302483069977421</v>
      </c>
      <c r="DI53" s="19" cm="1">
        <f t="array" aca="1" ref="DI53" ca="1">MAX(_xlfn._xlws.FILTER(CT53:DG53,CT53:DG53&lt;BP53))</f>
        <v>7.4560503454408613E-3</v>
      </c>
      <c r="DJ53" s="19" cm="1">
        <f t="array" aca="1" ref="DJ53" ca="1">MIN(_xlfn._xlws.FILTER(CT53:DG53,CT53:DG53&gt;BP53))</f>
        <v>1.4473509494091083E-2</v>
      </c>
      <c r="DK53" s="2" cm="1">
        <f t="array" aca="1" ref="DK53" ca="1">_FV(EH53,"Fechamento anterior",TRUE)</f>
        <v>24.29</v>
      </c>
      <c r="DL53" s="36">
        <f ca="1">(BJ53-DM53)/(DN53-DM53)</f>
        <v>0.87350525568344783</v>
      </c>
      <c r="DM53" s="18">
        <f t="shared" ca="1" si="87"/>
        <v>24.471107462890757</v>
      </c>
      <c r="DN53" s="18">
        <f t="shared" ca="1" si="88"/>
        <v>24.64156154561147</v>
      </c>
      <c r="DO53" s="9"/>
      <c r="DP53" s="9"/>
      <c r="DQ53" s="94">
        <v>7.972152071530958E-3</v>
      </c>
      <c r="DR53" s="94">
        <v>1.3547447964693133E-2</v>
      </c>
      <c r="DS53" s="94">
        <v>1.2794021573652834E-2</v>
      </c>
      <c r="DT53" s="94">
        <f t="shared" ca="1" si="12"/>
        <v>7.0174591486502217E-3</v>
      </c>
      <c r="DU53" s="87">
        <f ca="1">(BJ53-CF53)/(CF53-CE53)</f>
        <v>1.6627578836160304</v>
      </c>
      <c r="DV53" s="46"/>
      <c r="DW53" s="43">
        <f>_xlfn.STDEV.P(BF53:BI53)</f>
        <v>0.15937377450509177</v>
      </c>
      <c r="DX53" s="76">
        <f ca="1">BO53-$DT$2</f>
        <v>1.0972999999999997</v>
      </c>
      <c r="DY53" s="76">
        <f ca="1">BO53-BP53*100</f>
        <v>0.73579999999999979</v>
      </c>
      <c r="DZ53" s="101"/>
      <c r="EA53" s="100">
        <v>-0.80600000000000005</v>
      </c>
      <c r="EB53" s="107">
        <v>0.1661999999999999</v>
      </c>
      <c r="EC53" s="107">
        <v>-1.915</v>
      </c>
      <c r="ED53" s="98">
        <f t="shared" ca="1" si="13"/>
        <v>0.36149999999999993</v>
      </c>
      <c r="EE53" s="66"/>
      <c r="EF53" s="66"/>
      <c r="EH53" s="2" t="e" vm="53">
        <v>#VALUE!</v>
      </c>
      <c r="EJ53" s="10" cm="1">
        <f t="array" aca="1" ref="EJ53" ca="1">_FV(EH53,"Ações em circulação",TRUE)</f>
        <v>597250100</v>
      </c>
      <c r="EK53" s="21">
        <f>VLOOKUP(BK53,Fundamentus!A:U,5,FALSE)</f>
        <v>2.4060000000000001</v>
      </c>
      <c r="EL53" s="2">
        <f ca="1">(BJ53*EJ53)/EK53</f>
        <v>6111511829.5926847</v>
      </c>
      <c r="EM53" s="20">
        <v>469705429.74609303</v>
      </c>
      <c r="EN53" s="20">
        <f t="shared" ca="1" si="14"/>
        <v>476086771.5252701</v>
      </c>
      <c r="EP53" s="19">
        <f t="shared" ca="1" si="15"/>
        <v>1.3585837793330668E-2</v>
      </c>
      <c r="EQ53" s="40" t="str">
        <f>IF(VLOOKUP(BK53,Fundamentus!A:U,3,FALSE)&lt;15,"Bom",IF(VLOOKUP(BK53,Fundamentus!A:U,3,FALSE)&gt;15,"Ruim","n/a"))</f>
        <v>Ruim</v>
      </c>
      <c r="ER53" s="36" t="str">
        <f>IF(VLOOKUP(BK53,Fundamentus!A:U,4,FALSE)&lt;1,"Baixo",IF(VLOOKUP(BK53,Fundamentus!A:U,4,FALSE)&lt;1.5,"Moderado",IF(VLOOKUP(BK53,Fundamentus!A:U,4,FALSE)&gt;1.5,"Alto","n/a")))</f>
        <v>Alto</v>
      </c>
      <c r="ES53" s="20" t="str">
        <f>IF(VLOOKUP(BK53,Fundamentus!A:U,8,FALSE)&lt;0,"Risco elevado",IF(VLOOKUP(BK53,Fundamentus!A:U,8,FALSE)&lt;1,"Saudável",IF(VLOOKUP(BK53,Fundamentus!A:U,8,FALSE)&lt;3,"Estável",IF(VLOOKUP(BK53,Fundamentus!A:U,8,FALSE)&gt;3,"Alerta","n/a"))))</f>
        <v>Alerta</v>
      </c>
      <c r="ET53" s="36" t="str">
        <f t="shared" si="16"/>
        <v>Bom</v>
      </c>
      <c r="EU53" s="20" t="str">
        <f>IF(VLOOKUP(BK53,Fundamentus!A:U,12,FALSE)&lt;2,"Subvalorizada",IF(VLOOKUP(BK53,Fundamentus!A:U,12,FALSE)&lt;6,"Muita barata",IF(VLOOKUP(BK53,Fundamentus!A:U,12,FALSE)&lt;6,"Barata",IF(VLOOKUP(BK53,Fundamentus!A:U,12,FALSE)&lt;8,"Atrativa",IF(VLOOKUP(BK53,Fundamentus!A:U,12,FALSE)&gt;8,"Supervalorizada","n/a")))))</f>
        <v>Atrativa</v>
      </c>
      <c r="EW53" s="20" t="str">
        <f>IF(VLOOKUP(BK53,Fundamentus!A:U,17,FALSE)&lt;0.1,"Fraco retorno",IF(VLOOKUP(BK53,Fundamentus!A:U,17,FALSE)&gt;0.1,"Bom retorno","n/a"))</f>
        <v>Fraco retorno</v>
      </c>
      <c r="EX53" s="20" t="str">
        <f>IF(VLOOKUP(BK53,Fundamentus!A:U,16,FALSE)&lt;0.1,"Ineficiente",IF(VLOOKUP(BK53,Fundamentus!A:U,16,FALSE)&gt;0.1,"Eficiente","n/a"))</f>
        <v>Ineficiente</v>
      </c>
      <c r="EY53" s="41" t="str">
        <f>IF(VLOOKUP(BK53,Fundamentus!A:U,16,FALSE)&lt;0.1,"Oper. Ineficiente",IF(VLOOKUP(BK53,Fundamentus!A:U,16,FALSE)&gt;0.1,"Oper.Eficiente","n/a"))</f>
        <v>Oper. Ineficiente</v>
      </c>
      <c r="EZ53" s="42">
        <f>VLOOKUP(BK53,Fundamentus!A:U,14,FALSE)</f>
        <v>7.7899999999999997E-2</v>
      </c>
      <c r="FA53" s="20" t="str">
        <f>IF(VLOOKUP(BK53,Fundamentus!A:U,21,FALSE)&lt;0,"Negativo",IF(VLOOKUP(BK53,Fundamentus!A:U,21,FALSE)&lt;0.05,"Fraco",IF(VLOOKUP(BK53,Fundamentus!A:U,21,FALSE)&lt;0.1,"Bom",IF(VLOOKUP(BK53,Fundamentus!A:U,21,FALSE)&gt;0.1,"Muito bom","n/a"))))</f>
        <v>Muito bom</v>
      </c>
      <c r="FC53" s="37" t="str">
        <f>IF(VLOOKUP(BK53,Fundamentus!A:U,15,FALSE)&gt;1,"Bom",IF(VLOOKUP(BK53,Fundamentus!A:U,15,FALSE)&lt;1,"Ruim","n/a"))</f>
        <v>Bom</v>
      </c>
      <c r="FD53" s="20" t="str">
        <f>IF(VLOOKUP(BK53,Fundamentus!A:U,20,FALSE)&lt;0.5,"Baixa",IF(VLOOKUP(BK53,Fundamentus!A:U,20,FALSE)&lt;1,"Moderada",IF(VLOOKUP(BK53,Fundamentus!A:U,20,FALSE)&lt;2,"Alerta",IF(VLOOKUP(BK53,Fundamentus!A:U,20,FALSE)&gt;2,"Alta","n/a"))))</f>
        <v>Alerta</v>
      </c>
    </row>
    <row r="54" spans="1:160" s="2" customFormat="1" ht="11.25" hidden="1"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8">
        <v>13.18</v>
      </c>
      <c r="BC54" s="62">
        <v>12.65</v>
      </c>
      <c r="BD54" s="62">
        <v>12.59</v>
      </c>
      <c r="BE54" s="62">
        <v>12.85</v>
      </c>
      <c r="BF54" s="62">
        <v>13.07</v>
      </c>
      <c r="BG54" s="81">
        <v>13.02</v>
      </c>
      <c r="BH54" s="62">
        <v>13.06</v>
      </c>
      <c r="BI54" s="62">
        <v>12.73</v>
      </c>
      <c r="BJ54" s="62" cm="1">
        <f t="array" aca="1" ref="BJ54" ca="1">_FV(EH54,"Preço")</f>
        <v>12.89</v>
      </c>
      <c r="BK54" s="83" t="s">
        <v>51</v>
      </c>
      <c r="BL54" s="44" cm="1">
        <f t="array" aca="1" ref="BL54" ca="1">_FV(EH54,"Média de volume",TRUE)</f>
        <v>2941770</v>
      </c>
      <c r="BM54" s="44">
        <v>1785300</v>
      </c>
      <c r="BN54" s="44" cm="1">
        <f t="array" aca="1" ref="BN54" ca="1">_FV(EH54,"Volume")</f>
        <v>561100</v>
      </c>
      <c r="BO54" s="32" cm="1">
        <f t="array" aca="1" ref="BO54" ca="1">_FV(EH54,"Beta")</f>
        <v>0.63229999999999997</v>
      </c>
      <c r="BP54" s="86" cm="1">
        <f t="array" aca="1" ref="BP54" ca="1">_FV(EH54,"Variação (%)",TRUE)</f>
        <v>1.2568999999999999E-2</v>
      </c>
      <c r="BQ54" s="48"/>
      <c r="BR54" s="48"/>
      <c r="BT54" s="20" cm="1">
        <f t="array" aca="1" ref="BT54" ca="1">_FV(EH54,"Baixo")</f>
        <v>12.69</v>
      </c>
      <c r="BU54" s="20" cm="1">
        <f t="array" aca="1" ref="BU54" ca="1">_FV(EH54,"Alto")</f>
        <v>12.94</v>
      </c>
      <c r="BV54" s="32"/>
      <c r="BW54" s="73">
        <f ca="1">SQRT(22.5*(BJ54/VLOOKUP(BK54,Fundamentus!A:U,3,FALSE))*(BJ54/VLOOKUP(BK54,Fundamentus!A:U,4,FALSE)))</f>
        <v>15.562407800143371</v>
      </c>
      <c r="BY54" s="72">
        <f t="shared" ca="1" si="0"/>
        <v>1.2568735271013366E-2</v>
      </c>
      <c r="BZ54" s="8"/>
      <c r="CA54" s="71">
        <f t="shared" si="36"/>
        <v>11.06</v>
      </c>
      <c r="CB54" s="71">
        <f t="shared" si="1"/>
        <v>16.73</v>
      </c>
      <c r="CC54" s="71">
        <f t="shared" si="37"/>
        <v>13.64811475409836</v>
      </c>
      <c r="CD54" s="17"/>
      <c r="CE54" s="43">
        <f t="shared" si="19"/>
        <v>12.445357370917831</v>
      </c>
      <c r="CF54" s="18">
        <f>FORECAST("04/07/2025", BF54:BI54, $BF$5:$BI$5)</f>
        <v>12.725000000000023</v>
      </c>
      <c r="CG54" s="43">
        <f t="shared" si="20"/>
        <v>13.004642629082214</v>
      </c>
      <c r="CI54" s="17"/>
      <c r="CJ54" s="20">
        <f>CA54-2*(CB54-CM54)</f>
        <v>4.6133333333333315</v>
      </c>
      <c r="CK54" s="20">
        <f>CM54-(CB54-CA54)</f>
        <v>7.836666666666666</v>
      </c>
      <c r="CL54" s="20">
        <f>2*CM54-CB54</f>
        <v>10.283333333333331</v>
      </c>
      <c r="CM54" s="48">
        <f>(CB54+CA54+BI54)/3</f>
        <v>13.506666666666666</v>
      </c>
      <c r="CN54" s="20">
        <f>2*CM54-CA54</f>
        <v>15.953333333333331</v>
      </c>
      <c r="CO54" s="20">
        <f>CM54+(CB54-CA54)</f>
        <v>19.176666666666666</v>
      </c>
      <c r="CP54" s="20">
        <f>CB54+2*(CM54-CA54)</f>
        <v>21.623333333333331</v>
      </c>
      <c r="CQ54" s="2" cm="1">
        <f t="array" aca="1" ref="CQ54" ca="1">MAX(_xlfn._xlws.FILTER(CJ54:CP54,CJ54:CP54&lt;BJ54))</f>
        <v>10.283333333333331</v>
      </c>
      <c r="CR54" s="2" cm="1">
        <f t="array" aca="1" ref="CR54" ca="1">MIN(_xlfn._xlws.FILTER($CJ54:$CP54,$CJ54:$CP54&gt;BJ54))</f>
        <v>13.506666666666666</v>
      </c>
      <c r="CS54" s="19">
        <f t="shared" ca="1" si="72"/>
        <v>0.31345218800648311</v>
      </c>
      <c r="CT54" s="23">
        <f t="shared" ca="1" si="73"/>
        <v>-0.15672609400324156</v>
      </c>
      <c r="CU54" s="23">
        <f t="shared" ca="1" si="74"/>
        <v>-0.1044840626688277</v>
      </c>
      <c r="CV54" s="23">
        <f t="shared" ca="1" si="75"/>
        <v>-6.2690437601296625E-2</v>
      </c>
      <c r="CW54" s="23">
        <f t="shared" ca="1" si="76"/>
        <v>-3.4828020889609235E-2</v>
      </c>
      <c r="CX54" s="23">
        <f t="shared" ca="1" si="77"/>
        <v>-1.843836400038136E-2</v>
      </c>
      <c r="CY54" s="23">
        <f t="shared" ca="1" si="78"/>
        <v>-9.4985511517116095E-3</v>
      </c>
      <c r="CZ54" s="23">
        <f t="shared" ca="1" si="79"/>
        <v>-4.8223413539458942E-3</v>
      </c>
      <c r="DA54" s="24">
        <f t="shared" ca="1" si="80"/>
        <v>4.8223413539458942E-3</v>
      </c>
      <c r="DB54" s="24">
        <f t="shared" ca="1" si="81"/>
        <v>9.4985511517116095E-3</v>
      </c>
      <c r="DC54" s="24">
        <f t="shared" ca="1" si="82"/>
        <v>1.843836400038136E-2</v>
      </c>
      <c r="DD54" s="24">
        <f t="shared" ca="1" si="83"/>
        <v>3.4828020889609235E-2</v>
      </c>
      <c r="DE54" s="24">
        <f t="shared" ca="1" si="84"/>
        <v>6.2690437601296625E-2</v>
      </c>
      <c r="DF54" s="24">
        <f t="shared" ca="1" si="85"/>
        <v>0.1044840626688277</v>
      </c>
      <c r="DG54" s="24">
        <f t="shared" ca="1" si="86"/>
        <v>0.15672609400324156</v>
      </c>
      <c r="DI54" s="19" cm="1">
        <f t="array" aca="1" ref="DI54" ca="1">MAX(_xlfn._xlws.FILTER(CT54:DG54,CT54:DG54&lt;BP54))</f>
        <v>9.4985511517116095E-3</v>
      </c>
      <c r="DJ54" s="19" cm="1">
        <f t="array" aca="1" ref="DJ54" ca="1">MIN(_xlfn._xlws.FILTER(CT54:DG54,CT54:DG54&gt;BP54))</f>
        <v>1.843836400038136E-2</v>
      </c>
      <c r="DK54" s="2" cm="1">
        <f t="array" aca="1" ref="DK54" ca="1">_FV(EH54,"Fechamento anterior",TRUE)</f>
        <v>12.73</v>
      </c>
      <c r="DL54" s="36">
        <f ca="1">(BJ54-DM54)/(DN54-DM54)</f>
        <v>0.34342823180673127</v>
      </c>
      <c r="DM54" s="18">
        <f t="shared" ca="1" si="87"/>
        <v>12.850916556161289</v>
      </c>
      <c r="DN54" s="18">
        <f t="shared" ca="1" si="88"/>
        <v>12.964720373724855</v>
      </c>
      <c r="DO54" s="9"/>
      <c r="DP54" s="9"/>
      <c r="DQ54" s="94">
        <v>3.2220371164736403E-3</v>
      </c>
      <c r="DR54" s="94">
        <v>3.2220371164736403E-3</v>
      </c>
      <c r="DS54" s="94">
        <v>4.4522663676338512E-3</v>
      </c>
      <c r="DT54" s="94">
        <f t="shared" ca="1" si="12"/>
        <v>8.9398128486697509E-3</v>
      </c>
      <c r="DU54" s="87">
        <f ca="1">(BJ54-CF54)/(CF54-CE54)</f>
        <v>0.59003879537794501</v>
      </c>
      <c r="DV54" s="46"/>
      <c r="DW54" s="43">
        <f>_xlfn.STDEV.P(BF54:BI54)</f>
        <v>0.13982131454109556</v>
      </c>
      <c r="DX54" s="76">
        <f ca="1">BO54-$DT$2</f>
        <v>-0.36480000000000012</v>
      </c>
      <c r="DY54" s="76">
        <f ca="1">BO54-BP54*100</f>
        <v>-0.62459999999999993</v>
      </c>
      <c r="DZ54" s="101"/>
      <c r="EA54" s="100">
        <v>0.44980000000000009</v>
      </c>
      <c r="EB54" s="107">
        <v>-0.26639999999999975</v>
      </c>
      <c r="EC54" s="107">
        <v>-0.67579999999999996</v>
      </c>
      <c r="ED54" s="98">
        <f t="shared" ca="1" si="13"/>
        <v>0.25979999999999981</v>
      </c>
      <c r="EE54" s="66"/>
      <c r="EF54" s="66"/>
      <c r="EH54" s="2" t="e" vm="54">
        <v>#VALUE!</v>
      </c>
      <c r="EJ54" s="10" cm="1">
        <f t="array" aca="1" ref="EJ54" ca="1">_FV(EH54,"Ações em circulação",TRUE)</f>
        <v>547191000</v>
      </c>
      <c r="EK54" s="21">
        <f>VLOOKUP(BK54,Fundamentus!A:U,5,FALSE)</f>
        <v>0.91400000000000003</v>
      </c>
      <c r="EL54" s="2">
        <f ca="1">(BJ54*EJ54)/EK54</f>
        <v>7716949660.8315096</v>
      </c>
      <c r="EM54" s="20">
        <v>597499046.07439816</v>
      </c>
      <c r="EN54" s="20">
        <f t="shared" ca="1" si="14"/>
        <v>605008853.4091903</v>
      </c>
      <c r="EP54" s="19">
        <f t="shared" ca="1" si="15"/>
        <v>1.256873527101332E-2</v>
      </c>
      <c r="EQ54" s="40" t="str">
        <f>IF(VLOOKUP(BK54,Fundamentus!A:U,3,FALSE)&lt;15,"Bom",IF(VLOOKUP(BK54,Fundamentus!A:U,3,FALSE)&gt;15,"Ruim","n/a"))</f>
        <v>Bom</v>
      </c>
      <c r="ER54" s="36" t="str">
        <f>IF(VLOOKUP(BK54,Fundamentus!A:U,4,FALSE)&lt;1,"Baixo",IF(VLOOKUP(BK54,Fundamentus!A:U,4,FALSE)&lt;1.5,"Moderado",IF(VLOOKUP(BK54,Fundamentus!A:U,4,FALSE)&gt;1.5,"Alto","n/a")))</f>
        <v>Moderado</v>
      </c>
      <c r="ES54" s="20" t="str">
        <f>IF(VLOOKUP(BK54,Fundamentus!A:U,8,FALSE)&lt;0,"Risco elevado",IF(VLOOKUP(BK54,Fundamentus!A:U,8,FALSE)&lt;1,"Saudável",IF(VLOOKUP(BK54,Fundamentus!A:U,8,FALSE)&lt;3,"Estável",IF(VLOOKUP(BK54,Fundamentus!A:U,8,FALSE)&gt;3,"Alerta","n/a"))))</f>
        <v>Estável</v>
      </c>
      <c r="ET54" s="36" t="str">
        <f t="shared" si="16"/>
        <v>Ruim</v>
      </c>
      <c r="EU54" s="20" t="str">
        <f>IF(VLOOKUP(BK54,Fundamentus!A:U,12,FALSE)&lt;2,"Subvalorizada",IF(VLOOKUP(BK54,Fundamentus!A:U,12,FALSE)&lt;6,"Muita barata",IF(VLOOKUP(BK54,Fundamentus!A:U,12,FALSE)&lt;6,"Barata",IF(VLOOKUP(BK54,Fundamentus!A:U,12,FALSE)&lt;8,"Atrativa",IF(VLOOKUP(BK54,Fundamentus!A:U,12,FALSE)&gt;8,"Supervalorizada","n/a")))))</f>
        <v>Muita barata</v>
      </c>
      <c r="EW54" s="20" t="str">
        <f>IF(VLOOKUP(BK54,Fundamentus!A:U,17,FALSE)&lt;0.1,"Fraco retorno",IF(VLOOKUP(BK54,Fundamentus!A:U,17,FALSE)&gt;0.1,"Bom retorno","n/a"))</f>
        <v>Bom retorno</v>
      </c>
      <c r="EX54" s="20" t="str">
        <f>IF(VLOOKUP(BK54,Fundamentus!A:U,16,FALSE)&lt;0.1,"Ineficiente",IF(VLOOKUP(BK54,Fundamentus!A:U,16,FALSE)&gt;0.1,"Eficiente","n/a"))</f>
        <v>Eficiente</v>
      </c>
      <c r="EY54" s="41" t="str">
        <f>IF(VLOOKUP(BK54,Fundamentus!A:U,16,FALSE)&lt;0.1,"Oper. Ineficiente",IF(VLOOKUP(BK54,Fundamentus!A:U,16,FALSE)&gt;0.1,"Oper.Eficiente","n/a"))</f>
        <v>Oper.Eficiente</v>
      </c>
      <c r="EZ54" s="42">
        <f>VLOOKUP(BK54,Fundamentus!A:U,14,FALSE)</f>
        <v>7.8399999999999997E-2</v>
      </c>
      <c r="FA54" s="20" t="str">
        <f>IF(VLOOKUP(BK54,Fundamentus!A:U,21,FALSE)&lt;0,"Negativo",IF(VLOOKUP(BK54,Fundamentus!A:U,21,FALSE)&lt;0.05,"Fraco",IF(VLOOKUP(BK54,Fundamentus!A:U,21,FALSE)&lt;0.1,"Bom",IF(VLOOKUP(BK54,Fundamentus!A:U,21,FALSE)&gt;0.1,"Muito bom","n/a"))))</f>
        <v>Muito bom</v>
      </c>
      <c r="FC54" s="37" t="str">
        <f>IF(VLOOKUP(BK54,Fundamentus!A:U,15,FALSE)&gt;1,"Bom",IF(VLOOKUP(BK54,Fundamentus!A:U,15,FALSE)&lt;1,"Ruim","n/a"))</f>
        <v>Bom</v>
      </c>
      <c r="FD54" s="20" t="str">
        <f>IF(VLOOKUP(BK54,Fundamentus!A:U,20,FALSE)&lt;0.5,"Baixa",IF(VLOOKUP(BK54,Fundamentus!A:U,20,FALSE)&lt;1,"Moderada",IF(VLOOKUP(BK54,Fundamentus!A:U,20,FALSE)&lt;2,"Alerta",IF(VLOOKUP(BK54,Fundamentus!A:U,20,FALSE)&gt;2,"Alta","n/a"))))</f>
        <v>Alerta</v>
      </c>
    </row>
    <row r="55" spans="1:160" s="2" customFormat="1" ht="11.25" hidden="1"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8">
        <v>9.1199999999999992</v>
      </c>
      <c r="BC55" s="62">
        <v>9.58</v>
      </c>
      <c r="BD55" s="62">
        <v>9.27</v>
      </c>
      <c r="BE55" s="62">
        <v>9.2799999999999994</v>
      </c>
      <c r="BF55" s="62">
        <v>9.01</v>
      </c>
      <c r="BG55" s="81">
        <v>9.3800000000000008</v>
      </c>
      <c r="BH55" s="62">
        <v>8.93</v>
      </c>
      <c r="BI55" s="62">
        <v>8.9700000000000006</v>
      </c>
      <c r="BJ55" s="62" cm="1">
        <f t="array" aca="1" ref="BJ55" ca="1">_FV(EH55,"Preço")</f>
        <v>8.9700000000000006</v>
      </c>
      <c r="BK55" s="83" t="s">
        <v>52</v>
      </c>
      <c r="BL55" s="44" cm="1">
        <f t="array" aca="1" ref="BL55" ca="1">_FV(EH55,"Média de volume",TRUE)</f>
        <v>126160</v>
      </c>
      <c r="BM55" s="44">
        <v>67800</v>
      </c>
      <c r="BN55" s="44" cm="1">
        <f t="array" aca="1" ref="BN55" ca="1">_FV(EH55,"Volume")</f>
        <v>43100</v>
      </c>
      <c r="BO55" s="32" cm="1">
        <f t="array" aca="1" ref="BO55" ca="1">_FV(EH55,"Beta")</f>
        <v>0.59199999999999997</v>
      </c>
      <c r="BP55" s="86" cm="1">
        <f t="array" aca="1" ref="BP55" ca="1">_FV(EH55,"Variação (%)",TRUE)</f>
        <v>0</v>
      </c>
      <c r="BQ55" s="48"/>
      <c r="BR55" s="48"/>
      <c r="BT55" s="20" cm="1">
        <f t="array" aca="1" ref="BT55" ca="1">_FV(EH55,"Baixo")</f>
        <v>8.91</v>
      </c>
      <c r="BU55" s="20" cm="1">
        <f t="array" aca="1" ref="BU55" ca="1">_FV(EH55,"Alto")</f>
        <v>9.01</v>
      </c>
      <c r="BV55" s="32"/>
      <c r="BW55" s="73">
        <f ca="1">SQRT(22.5*(BJ55/VLOOKUP(BK55,Fundamentus!A:U,3,FALSE))*(BJ55/VLOOKUP(BK55,Fundamentus!A:U,4,FALSE)))</f>
        <v>17.457838822822154</v>
      </c>
      <c r="BY55" s="72">
        <f t="shared" ca="1" si="0"/>
        <v>0</v>
      </c>
      <c r="BZ55" s="8"/>
      <c r="CA55" s="71">
        <f t="shared" si="36"/>
        <v>8.2200000000000006</v>
      </c>
      <c r="CB55" s="71">
        <f t="shared" si="1"/>
        <v>11.28</v>
      </c>
      <c r="CC55" s="71">
        <f t="shared" si="37"/>
        <v>9.8299180327868836</v>
      </c>
      <c r="CD55" s="17"/>
      <c r="CE55" s="43">
        <f t="shared" si="19"/>
        <v>8.5704516722330126</v>
      </c>
      <c r="CF55" s="18">
        <f>FORECAST("04/07/2025", BF55:BI55, $BF$5:$BI$5)</f>
        <v>8.92999999999995</v>
      </c>
      <c r="CG55" s="43">
        <f t="shared" si="20"/>
        <v>9.2895483277668873</v>
      </c>
      <c r="CI55" s="17"/>
      <c r="CJ55" s="20">
        <f>CA55-2*(CB55-CM55)</f>
        <v>4.6400000000000023</v>
      </c>
      <c r="CK55" s="20">
        <f>CM55-(CB55-CA55)</f>
        <v>6.4300000000000015</v>
      </c>
      <c r="CL55" s="20">
        <f>2*CM55-CB55</f>
        <v>7.7000000000000011</v>
      </c>
      <c r="CM55" s="48">
        <f>(CB55+CA55+BI55)/3</f>
        <v>9.49</v>
      </c>
      <c r="CN55" s="20">
        <f>2*CM55-CA55</f>
        <v>10.76</v>
      </c>
      <c r="CO55" s="20">
        <f>CM55+(CB55-CA55)</f>
        <v>12.549999999999999</v>
      </c>
      <c r="CP55" s="20">
        <f>CB55+2*(CM55-CA55)</f>
        <v>13.819999999999999</v>
      </c>
      <c r="CQ55" s="2" cm="1">
        <f t="array" aca="1" ref="CQ55" ca="1">MAX(_xlfn._xlws.FILTER(CJ55:CP55,CJ55:CP55&lt;BJ55))</f>
        <v>7.7000000000000011</v>
      </c>
      <c r="CR55" s="2" cm="1">
        <f t="array" aca="1" ref="CR55" ca="1">MIN(_xlfn._xlws.FILTER($CJ55:$CP55,$CJ55:$CP55&gt;BJ55))</f>
        <v>9.49</v>
      </c>
      <c r="CS55" s="19">
        <f t="shared" ca="1" si="72"/>
        <v>0.23246753246753227</v>
      </c>
      <c r="CT55" s="23">
        <f t="shared" ca="1" si="73"/>
        <v>-0.11623376623376613</v>
      </c>
      <c r="CU55" s="23">
        <f t="shared" ca="1" si="74"/>
        <v>-7.7489177489177427E-2</v>
      </c>
      <c r="CV55" s="23">
        <f t="shared" ca="1" si="75"/>
        <v>-4.6493506493506455E-2</v>
      </c>
      <c r="CW55" s="23">
        <f t="shared" ca="1" si="76"/>
        <v>-2.5829725829725807E-2</v>
      </c>
      <c r="CX55" s="23">
        <f t="shared" ca="1" si="77"/>
        <v>-1.3674560733384251E-2</v>
      </c>
      <c r="CY55" s="23">
        <f t="shared" ca="1" si="78"/>
        <v>-7.0444706808343114E-3</v>
      </c>
      <c r="CZ55" s="23">
        <f t="shared" ca="1" si="79"/>
        <v>-3.5764235764235734E-3</v>
      </c>
      <c r="DA55" s="24">
        <f t="shared" ca="1" si="80"/>
        <v>3.5764235764235734E-3</v>
      </c>
      <c r="DB55" s="24">
        <f t="shared" ca="1" si="81"/>
        <v>7.0444706808343114E-3</v>
      </c>
      <c r="DC55" s="24">
        <f t="shared" ca="1" si="82"/>
        <v>1.3674560733384251E-2</v>
      </c>
      <c r="DD55" s="24">
        <f t="shared" ca="1" si="83"/>
        <v>2.5829725829725807E-2</v>
      </c>
      <c r="DE55" s="24">
        <f t="shared" ca="1" si="84"/>
        <v>4.6493506493506455E-2</v>
      </c>
      <c r="DF55" s="24">
        <f t="shared" ca="1" si="85"/>
        <v>7.7489177489177427E-2</v>
      </c>
      <c r="DG55" s="24">
        <f t="shared" ca="1" si="86"/>
        <v>0.11623376623376613</v>
      </c>
      <c r="DI55" s="19" cm="1">
        <f t="array" aca="1" ref="DI55" ca="1">MAX(_xlfn._xlws.FILTER(CT55:DG55,CT55:DG55&lt;BP55))</f>
        <v>-3.5764235764235734E-3</v>
      </c>
      <c r="DJ55" s="19" cm="1">
        <f t="array" aca="1" ref="DJ55" ca="1">MIN(_xlfn._xlws.FILTER(CT55:DG55,CT55:DG55&gt;BP55))</f>
        <v>3.5764235764235734E-3</v>
      </c>
      <c r="DK55" s="2" cm="1">
        <f t="array" aca="1" ref="DK55" ca="1">_FV(EH55,"Fechamento anterior",TRUE)</f>
        <v>8.9700000000000006</v>
      </c>
      <c r="DL55" s="36">
        <f ca="1">(BJ55-DM55)/(DN55-DM55)</f>
        <v>0.5</v>
      </c>
      <c r="DM55" s="18">
        <f t="shared" ca="1" si="87"/>
        <v>8.937919480519481</v>
      </c>
      <c r="DN55" s="18">
        <f t="shared" ca="1" si="88"/>
        <v>9.0020805194805202</v>
      </c>
      <c r="DO55" s="9"/>
      <c r="DP55" s="9"/>
      <c r="DQ55" s="94">
        <v>2.2417756468486654E-3</v>
      </c>
      <c r="DR55" s="94">
        <v>7.8572038602784094E-3</v>
      </c>
      <c r="DS55" s="94">
        <v>1.0842241021269149E-2</v>
      </c>
      <c r="DT55" s="94">
        <f t="shared" ca="1" si="12"/>
        <v>7.1528471528471468E-3</v>
      </c>
      <c r="DU55" s="87">
        <f ca="1">(BJ55-CF55)/(CF55-CE55)</f>
        <v>0.11125069124498624</v>
      </c>
      <c r="DV55" s="46"/>
      <c r="DW55" s="43">
        <f>_xlfn.STDEV.P(BF55:BI55)</f>
        <v>0.17977416388346829</v>
      </c>
      <c r="DX55" s="76">
        <f ca="1">BO55-$DT$2</f>
        <v>-0.40510000000000013</v>
      </c>
      <c r="DY55" s="76">
        <f ca="1">BO55-BP55*100</f>
        <v>0.59199999999999997</v>
      </c>
      <c r="DZ55" s="101"/>
      <c r="EA55" s="100">
        <v>-1.3159000000000001</v>
      </c>
      <c r="EB55" s="107">
        <v>-1.0556999999999999</v>
      </c>
      <c r="EC55" s="107">
        <v>-4.1600000000000081E-2</v>
      </c>
      <c r="ED55" s="98">
        <f t="shared" ca="1" si="13"/>
        <v>-0.9971000000000001</v>
      </c>
      <c r="EE55" s="66"/>
      <c r="EF55" s="66"/>
      <c r="EH55" s="2" t="e" vm="55">
        <v>#VALUE!</v>
      </c>
      <c r="EJ55" s="10" cm="1">
        <f t="array" aca="1" ref="EJ55" ca="1">_FV(EH55,"Ações em circulação",TRUE)</f>
        <v>93170750</v>
      </c>
      <c r="EK55" s="21">
        <f>VLOOKUP(BK55,Fundamentus!A:U,5,FALSE)</f>
        <v>0.68</v>
      </c>
      <c r="EL55" s="2">
        <f ca="1">(BJ55*EJ55)/EK55</f>
        <v>1229031805.1470587</v>
      </c>
      <c r="EM55" s="20">
        <v>102501252.5492647</v>
      </c>
      <c r="EN55" s="20">
        <f t="shared" ca="1" si="14"/>
        <v>102501252.5492647</v>
      </c>
      <c r="EP55" s="19">
        <f t="shared" ca="1" si="15"/>
        <v>0</v>
      </c>
      <c r="EQ55" s="40" t="str">
        <f>IF(VLOOKUP(BK55,Fundamentus!A:U,3,FALSE)&lt;15,"Bom",IF(VLOOKUP(BK55,Fundamentus!A:U,3,FALSE)&gt;15,"Ruim","n/a"))</f>
        <v>Bom</v>
      </c>
      <c r="ER55" s="36" t="str">
        <f>IF(VLOOKUP(BK55,Fundamentus!A:U,4,FALSE)&lt;1,"Baixo",IF(VLOOKUP(BK55,Fundamentus!A:U,4,FALSE)&lt;1.5,"Moderado",IF(VLOOKUP(BK55,Fundamentus!A:U,4,FALSE)&gt;1.5,"Alto","n/a")))</f>
        <v>Baixo</v>
      </c>
      <c r="ES55" s="20" t="str">
        <f>IF(VLOOKUP(BK55,Fundamentus!A:U,8,FALSE)&lt;0,"Risco elevado",IF(VLOOKUP(BK55,Fundamentus!A:U,8,FALSE)&lt;1,"Saudável",IF(VLOOKUP(BK55,Fundamentus!A:U,8,FALSE)&lt;3,"Estável",IF(VLOOKUP(BK55,Fundamentus!A:U,8,FALSE)&gt;3,"Alerta","n/a"))))</f>
        <v>Estável</v>
      </c>
      <c r="ET55" s="36" t="str">
        <f t="shared" si="16"/>
        <v>Ruim</v>
      </c>
      <c r="EU55" s="20" t="str">
        <f>IF(VLOOKUP(BK55,Fundamentus!A:U,12,FALSE)&lt;2,"Subvalorizada",IF(VLOOKUP(BK55,Fundamentus!A:U,12,FALSE)&lt;6,"Muita barata",IF(VLOOKUP(BK55,Fundamentus!A:U,12,FALSE)&lt;6,"Barata",IF(VLOOKUP(BK55,Fundamentus!A:U,12,FALSE)&lt;8,"Atrativa",IF(VLOOKUP(BK55,Fundamentus!A:U,12,FALSE)&gt;8,"Supervalorizada","n/a")))))</f>
        <v>Supervalorizada</v>
      </c>
      <c r="EW55" s="20" t="str">
        <f>IF(VLOOKUP(BK55,Fundamentus!A:U,17,FALSE)&lt;0.1,"Fraco retorno",IF(VLOOKUP(BK55,Fundamentus!A:U,17,FALSE)&gt;0.1,"Bom retorno","n/a"))</f>
        <v>Fraco retorno</v>
      </c>
      <c r="EX55" s="20" t="str">
        <f>IF(VLOOKUP(BK55,Fundamentus!A:U,16,FALSE)&lt;0.1,"Ineficiente",IF(VLOOKUP(BK55,Fundamentus!A:U,16,FALSE)&gt;0.1,"Eficiente","n/a"))</f>
        <v>Ineficiente</v>
      </c>
      <c r="EY55" s="41" t="str">
        <f>IF(VLOOKUP(BK55,Fundamentus!A:U,16,FALSE)&lt;0.1,"Oper. Ineficiente",IF(VLOOKUP(BK55,Fundamentus!A:U,16,FALSE)&gt;0.1,"Oper.Eficiente","n/a"))</f>
        <v>Oper. Ineficiente</v>
      </c>
      <c r="EZ55" s="42">
        <f>VLOOKUP(BK55,Fundamentus!A:U,14,FALSE)</f>
        <v>8.3400000000000002E-2</v>
      </c>
      <c r="FA55" s="20" t="str">
        <f>IF(VLOOKUP(BK55,Fundamentus!A:U,21,FALSE)&lt;0,"Negativo",IF(VLOOKUP(BK55,Fundamentus!A:U,21,FALSE)&lt;0.05,"Fraco",IF(VLOOKUP(BK55,Fundamentus!A:U,21,FALSE)&lt;0.1,"Bom",IF(VLOOKUP(BK55,Fundamentus!A:U,21,FALSE)&gt;0.1,"Muito bom","n/a"))))</f>
        <v>Fraco</v>
      </c>
      <c r="FC55" s="37" t="str">
        <f>IF(VLOOKUP(BK55,Fundamentus!A:U,15,FALSE)&gt;1,"Bom",IF(VLOOKUP(BK55,Fundamentus!A:U,15,FALSE)&lt;1,"Ruim","n/a"))</f>
        <v>Bom</v>
      </c>
      <c r="FD55" s="20" t="str">
        <f>IF(VLOOKUP(BK55,Fundamentus!A:U,20,FALSE)&lt;0.5,"Baixa",IF(VLOOKUP(BK55,Fundamentus!A:U,20,FALSE)&lt;1,"Moderada",IF(VLOOKUP(BK55,Fundamentus!A:U,20,FALSE)&lt;2,"Alerta",IF(VLOOKUP(BK55,Fundamentus!A:U,20,FALSE)&gt;2,"Alta","n/a"))))</f>
        <v>Moderada</v>
      </c>
    </row>
    <row r="56" spans="1:160" s="2" customFormat="1" ht="11.25" hidden="1"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8">
        <v>11.93</v>
      </c>
      <c r="BC56" s="62">
        <v>11.84</v>
      </c>
      <c r="BD56" s="62">
        <v>11.85</v>
      </c>
      <c r="BE56" s="62">
        <v>11.81</v>
      </c>
      <c r="BF56" s="62">
        <v>11.5</v>
      </c>
      <c r="BG56" s="81">
        <v>11.36</v>
      </c>
      <c r="BH56" s="62">
        <v>11.48</v>
      </c>
      <c r="BI56" s="62">
        <v>11.54</v>
      </c>
      <c r="BJ56" s="62" cm="1">
        <f t="array" aca="1" ref="BJ56" ca="1">_FV(EH56,"Preço")</f>
        <v>11.56</v>
      </c>
      <c r="BK56" s="83" t="s">
        <v>53</v>
      </c>
      <c r="BL56" s="44" cm="1">
        <f t="array" aca="1" ref="BL56" ca="1">_FV(EH56,"Média de volume",TRUE)</f>
        <v>1674490</v>
      </c>
      <c r="BM56" s="44">
        <v>86300</v>
      </c>
      <c r="BN56" s="44" cm="1">
        <f t="array" aca="1" ref="BN56" ca="1">_FV(EH56,"Volume")</f>
        <v>58100</v>
      </c>
      <c r="BO56" s="32" cm="1">
        <f t="array" aca="1" ref="BO56" ca="1">_FV(EH56,"Beta")</f>
        <v>0.68979999999999997</v>
      </c>
      <c r="BP56" s="86" cm="1">
        <f t="array" aca="1" ref="BP56" ca="1">_FV(EH56,"Variação (%)",TRUE)</f>
        <v>1.7330000000000002E-3</v>
      </c>
      <c r="BQ56" s="48"/>
      <c r="BR56" s="48"/>
      <c r="BT56" s="20" cm="1">
        <f t="array" aca="1" ref="BT56" ca="1">_FV(EH56,"Baixo")</f>
        <v>11.42</v>
      </c>
      <c r="BU56" s="20" cm="1">
        <f t="array" aca="1" ref="BU56" ca="1">_FV(EH56,"Alto")</f>
        <v>11.62</v>
      </c>
      <c r="BV56" s="32"/>
      <c r="BW56" s="73">
        <f ca="1">SQRT(22.5*(BJ56/VLOOKUP(BK56,Fundamentus!A:U,3,FALSE))*(BJ56/VLOOKUP(BK56,Fundamentus!A:U,4,FALSE)))</f>
        <v>16.368910196684357</v>
      </c>
      <c r="BY56" s="72">
        <f t="shared" ca="1" si="0"/>
        <v>1.7331022530330462E-3</v>
      </c>
      <c r="BZ56" s="8"/>
      <c r="CA56" s="71">
        <f t="shared" si="36"/>
        <v>10.77</v>
      </c>
      <c r="CB56" s="71">
        <f t="shared" si="1"/>
        <v>12.27</v>
      </c>
      <c r="CC56" s="71">
        <f t="shared" si="37"/>
        <v>11.480491803278689</v>
      </c>
      <c r="CD56" s="17"/>
      <c r="CE56" s="43">
        <f t="shared" si="19"/>
        <v>11.395835921349985</v>
      </c>
      <c r="CF56" s="18">
        <f>FORECAST("04/07/2025", BF56:BI56, $BF$5:$BI$5)</f>
        <v>11.529999999999973</v>
      </c>
      <c r="CG56" s="43">
        <f t="shared" si="20"/>
        <v>11.664164078649961</v>
      </c>
      <c r="CI56" s="17"/>
      <c r="CJ56" s="20">
        <f>CA56-2*(CB56-CM56)</f>
        <v>9.2833333333333314</v>
      </c>
      <c r="CK56" s="20">
        <f>CM56-(CB56-CA56)</f>
        <v>10.026666666666666</v>
      </c>
      <c r="CL56" s="20">
        <f>2*CM56-CB56</f>
        <v>10.783333333333331</v>
      </c>
      <c r="CM56" s="48">
        <f>(CB56+CA56+BI56)/3</f>
        <v>11.526666666666666</v>
      </c>
      <c r="CN56" s="20">
        <f>2*CM56-CA56</f>
        <v>12.283333333333331</v>
      </c>
      <c r="CO56" s="20">
        <f>CM56+(CB56-CA56)</f>
        <v>13.026666666666666</v>
      </c>
      <c r="CP56" s="20">
        <f>CB56+2*(CM56-CA56)</f>
        <v>13.783333333333331</v>
      </c>
      <c r="CQ56" s="2" cm="1">
        <f t="array" aca="1" ref="CQ56" ca="1">MAX(_xlfn._xlws.FILTER(CJ56:CP56,CJ56:CP56&lt;BJ56))</f>
        <v>11.526666666666666</v>
      </c>
      <c r="CR56" s="2" cm="1">
        <f t="array" aca="1" ref="CR56" ca="1">MIN(_xlfn._xlws.FILTER($CJ56:$CP56,$CJ56:$CP56&gt;BJ56))</f>
        <v>12.283333333333331</v>
      </c>
      <c r="CS56" s="19">
        <f t="shared" ca="1" si="72"/>
        <v>6.5644881434355096E-2</v>
      </c>
      <c r="CT56" s="23">
        <f t="shared" ca="1" si="73"/>
        <v>-3.2822440717177548E-2</v>
      </c>
      <c r="CU56" s="23">
        <f t="shared" ca="1" si="74"/>
        <v>-2.1881627144785032E-2</v>
      </c>
      <c r="CV56" s="23">
        <f t="shared" ca="1" si="75"/>
        <v>-1.3128976286871019E-2</v>
      </c>
      <c r="CW56" s="23">
        <f t="shared" ca="1" si="76"/>
        <v>-7.293875714928344E-3</v>
      </c>
      <c r="CX56" s="23">
        <f t="shared" ca="1" si="77"/>
        <v>-3.8614636137855938E-3</v>
      </c>
      <c r="CY56" s="23">
        <f t="shared" ca="1" si="78"/>
        <v>-1.9892388313440938E-3</v>
      </c>
      <c r="CZ56" s="23">
        <f t="shared" ca="1" si="79"/>
        <v>-1.0099212528362322E-3</v>
      </c>
      <c r="DA56" s="24">
        <f t="shared" ca="1" si="80"/>
        <v>1.0099212528362322E-3</v>
      </c>
      <c r="DB56" s="24">
        <f t="shared" ca="1" si="81"/>
        <v>1.9892388313440938E-3</v>
      </c>
      <c r="DC56" s="24">
        <f t="shared" ca="1" si="82"/>
        <v>3.8614636137855938E-3</v>
      </c>
      <c r="DD56" s="24">
        <f t="shared" ca="1" si="83"/>
        <v>7.293875714928344E-3</v>
      </c>
      <c r="DE56" s="24">
        <f t="shared" ca="1" si="84"/>
        <v>1.3128976286871019E-2</v>
      </c>
      <c r="DF56" s="24">
        <f t="shared" ca="1" si="85"/>
        <v>2.1881627144785032E-2</v>
      </c>
      <c r="DG56" s="24">
        <f t="shared" ca="1" si="86"/>
        <v>3.2822440717177548E-2</v>
      </c>
      <c r="DI56" s="19" cm="1">
        <f t="array" aca="1" ref="DI56" ca="1">MAX(_xlfn._xlws.FILTER(CT56:DG56,CT56:DG56&lt;BP56))</f>
        <v>1.0099212528362322E-3</v>
      </c>
      <c r="DJ56" s="19" cm="1">
        <f t="array" aca="1" ref="DJ56" ca="1">MIN(_xlfn._xlws.FILTER(CT56:DG56,CT56:DG56&gt;BP56))</f>
        <v>1.9892388313440938E-3</v>
      </c>
      <c r="DK56" s="2" cm="1">
        <f t="array" aca="1" ref="DK56" ca="1">_FV(EH56,"Fechamento anterior",TRUE)</f>
        <v>11.54</v>
      </c>
      <c r="DL56" s="36">
        <f ca="1">(BJ56-DM56)/(DN56-DM56)</f>
        <v>0.73845401743800843</v>
      </c>
      <c r="DM56" s="18">
        <f t="shared" ca="1" si="87"/>
        <v>11.551654491257729</v>
      </c>
      <c r="DN56" s="18">
        <f t="shared" ca="1" si="88"/>
        <v>11.56295581611371</v>
      </c>
      <c r="DO56" s="9"/>
      <c r="DP56" s="9"/>
      <c r="DQ56" s="94">
        <v>4.4424453440396333E-3</v>
      </c>
      <c r="DR56" s="94">
        <v>1.2653282656936236E-3</v>
      </c>
      <c r="DS56" s="94">
        <v>2.3180320773318586E-3</v>
      </c>
      <c r="DT56" s="94">
        <f t="shared" ca="1" si="12"/>
        <v>9.7931757850786157E-4</v>
      </c>
      <c r="DU56" s="87">
        <f ca="1">(BJ56-CF56)/(CF56-CE56)</f>
        <v>0.22360679775018497</v>
      </c>
      <c r="DV56" s="46"/>
      <c r="DW56" s="43">
        <f>_xlfn.STDEV.P(BF56:BI56)</f>
        <v>6.7082039324993709E-2</v>
      </c>
      <c r="DX56" s="76">
        <f ca="1">BO56-$DT$2</f>
        <v>-0.30730000000000013</v>
      </c>
      <c r="DY56" s="76">
        <f ca="1">BO56-BP56*100</f>
        <v>0.51649999999999996</v>
      </c>
      <c r="DZ56" s="101"/>
      <c r="EA56" s="100">
        <v>1.0853999999999999</v>
      </c>
      <c r="EB56" s="107">
        <v>0.80819999999999981</v>
      </c>
      <c r="EC56" s="107">
        <v>0.44150000000000006</v>
      </c>
      <c r="ED56" s="98">
        <f t="shared" ca="1" si="13"/>
        <v>-0.82380000000000009</v>
      </c>
      <c r="EE56" s="66"/>
      <c r="EF56" s="66"/>
      <c r="EH56" s="2" t="e" vm="56">
        <v>#VALUE!</v>
      </c>
      <c r="EJ56" s="10" cm="1">
        <f t="array" aca="1" ref="EJ56" ca="1">_FV(EH56,"Ações em circulação",TRUE)</f>
        <v>344498900</v>
      </c>
      <c r="EK56" s="21">
        <f>VLOOKUP(BK56,Fundamentus!A:U,5,FALSE)</f>
        <v>2.9580000000000002</v>
      </c>
      <c r="EL56" s="2">
        <f ca="1">(BJ56*EJ56)/EK56</f>
        <v>1346317540.2298849</v>
      </c>
      <c r="EM56" s="20">
        <v>570523021.09432042</v>
      </c>
      <c r="EN56" s="20">
        <f t="shared" ca="1" si="14"/>
        <v>571511795.82758605</v>
      </c>
      <c r="EP56" s="19">
        <f t="shared" ca="1" si="15"/>
        <v>1.7331022530326923E-3</v>
      </c>
      <c r="EQ56" s="40" t="str">
        <f>IF(VLOOKUP(BK56,Fundamentus!A:U,3,FALSE)&lt;15,"Bom",IF(VLOOKUP(BK56,Fundamentus!A:U,3,FALSE)&gt;15,"Ruim","n/a"))</f>
        <v>Bom</v>
      </c>
      <c r="ER56" s="36" t="str">
        <f>IF(VLOOKUP(BK56,Fundamentus!A:U,4,FALSE)&lt;1,"Baixo",IF(VLOOKUP(BK56,Fundamentus!A:U,4,FALSE)&lt;1.5,"Moderado",IF(VLOOKUP(BK56,Fundamentus!A:U,4,FALSE)&gt;1.5,"Alto","n/a")))</f>
        <v>Alto</v>
      </c>
      <c r="ES56" s="20" t="str">
        <f>IF(VLOOKUP(BK56,Fundamentus!A:U,8,FALSE)&lt;0,"Risco elevado",IF(VLOOKUP(BK56,Fundamentus!A:U,8,FALSE)&lt;1,"Saudável",IF(VLOOKUP(BK56,Fundamentus!A:U,8,FALSE)&lt;3,"Estável",IF(VLOOKUP(BK56,Fundamentus!A:U,8,FALSE)&gt;3,"Alerta","n/a"))))</f>
        <v>Alerta</v>
      </c>
      <c r="ET56" s="36" t="str">
        <f t="shared" si="16"/>
        <v>Bom</v>
      </c>
      <c r="EU56" s="20" t="str">
        <f>IF(VLOOKUP(BK56,Fundamentus!A:U,12,FALSE)&lt;2,"Subvalorizada",IF(VLOOKUP(BK56,Fundamentus!A:U,12,FALSE)&lt;6,"Muita barata",IF(VLOOKUP(BK56,Fundamentus!A:U,12,FALSE)&lt;6,"Barata",IF(VLOOKUP(BK56,Fundamentus!A:U,12,FALSE)&lt;8,"Atrativa",IF(VLOOKUP(BK56,Fundamentus!A:U,12,FALSE)&gt;8,"Supervalorizada","n/a")))))</f>
        <v>Supervalorizada</v>
      </c>
      <c r="EW56" s="20" t="str">
        <f>IF(VLOOKUP(BK56,Fundamentus!A:U,17,FALSE)&lt;0.1,"Fraco retorno",IF(VLOOKUP(BK56,Fundamentus!A:U,17,FALSE)&gt;0.1,"Bom retorno","n/a"))</f>
        <v>Bom retorno</v>
      </c>
      <c r="EX56" s="20" t="str">
        <f>IF(VLOOKUP(BK56,Fundamentus!A:U,16,FALSE)&lt;0.1,"Ineficiente",IF(VLOOKUP(BK56,Fundamentus!A:U,16,FALSE)&gt;0.1,"Eficiente","n/a"))</f>
        <v>Eficiente</v>
      </c>
      <c r="EY56" s="41" t="str">
        <f>IF(VLOOKUP(BK56,Fundamentus!A:U,16,FALSE)&lt;0.1,"Oper. Ineficiente",IF(VLOOKUP(BK56,Fundamentus!A:U,16,FALSE)&gt;0.1,"Oper.Eficiente","n/a"))</f>
        <v>Oper.Eficiente</v>
      </c>
      <c r="EZ56" s="42">
        <f>VLOOKUP(BK56,Fundamentus!A:U,14,FALSE)</f>
        <v>0.42449999999999999</v>
      </c>
      <c r="FA56" s="20" t="str">
        <f>IF(VLOOKUP(BK56,Fundamentus!A:U,21,FALSE)&lt;0,"Negativo",IF(VLOOKUP(BK56,Fundamentus!A:U,21,FALSE)&lt;0.05,"Fraco",IF(VLOOKUP(BK56,Fundamentus!A:U,21,FALSE)&lt;0.1,"Bom",IF(VLOOKUP(BK56,Fundamentus!A:U,21,FALSE)&gt;0.1,"Muito bom","n/a"))))</f>
        <v>Fraco</v>
      </c>
      <c r="FC56" s="37" t="str">
        <f>IF(VLOOKUP(BK56,Fundamentus!A:U,15,FALSE)&gt;1,"Bom",IF(VLOOKUP(BK56,Fundamentus!A:U,15,FALSE)&lt;1,"Ruim","n/a"))</f>
        <v>Bom</v>
      </c>
      <c r="FD56" s="20" t="str">
        <f>IF(VLOOKUP(BK56,Fundamentus!A:U,20,FALSE)&lt;0.5,"Baixa",IF(VLOOKUP(BK56,Fundamentus!A:U,20,FALSE)&lt;1,"Moderada",IF(VLOOKUP(BK56,Fundamentus!A:U,20,FALSE)&lt;2,"Alerta",IF(VLOOKUP(BK56,Fundamentus!A:U,20,FALSE)&gt;2,"Alta","n/a"))))</f>
        <v>Alerta</v>
      </c>
    </row>
    <row r="57" spans="1:160" s="2" customFormat="1" ht="11.25" hidden="1"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8">
        <v>19.21</v>
      </c>
      <c r="BC57" s="62">
        <v>17.89</v>
      </c>
      <c r="BD57" s="62">
        <v>18.059999999999999</v>
      </c>
      <c r="BE57" s="62">
        <v>18.82</v>
      </c>
      <c r="BF57" s="62">
        <v>19.079999999999998</v>
      </c>
      <c r="BG57" s="81">
        <v>19.13</v>
      </c>
      <c r="BH57" s="62">
        <v>17.97</v>
      </c>
      <c r="BI57" s="62">
        <v>17.96</v>
      </c>
      <c r="BJ57" s="62" cm="1">
        <f t="array" aca="1" ref="BJ57" ca="1">_FV(EH57,"Preço")</f>
        <v>18.510000000000002</v>
      </c>
      <c r="BK57" s="83" t="s">
        <v>54</v>
      </c>
      <c r="BL57" s="44" cm="1">
        <f t="array" aca="1" ref="BL57" ca="1">_FV(EH57,"Média de volume",TRUE)</f>
        <v>10105440</v>
      </c>
      <c r="BM57" s="44">
        <v>9680400</v>
      </c>
      <c r="BN57" s="44" cm="1">
        <f t="array" aca="1" ref="BN57" ca="1">_FV(EH57,"Volume")</f>
        <v>6224000</v>
      </c>
      <c r="BO57" s="32" cm="1">
        <f t="array" aca="1" ref="BO57" ca="1">_FV(EH57,"Beta")</f>
        <v>0.74160000000000004</v>
      </c>
      <c r="BP57" s="86" cm="1">
        <f t="array" aca="1" ref="BP57" ca="1">_FV(EH57,"Variação (%)",TRUE)</f>
        <v>3.0623999999999998E-2</v>
      </c>
      <c r="BQ57" s="48"/>
      <c r="BR57" s="48"/>
      <c r="BT57" s="20" cm="1">
        <f t="array" aca="1" ref="BT57" ca="1">_FV(EH57,"Baixo")</f>
        <v>17.82</v>
      </c>
      <c r="BU57" s="20" cm="1">
        <f t="array" aca="1" ref="BU57" ca="1">_FV(EH57,"Alto")</f>
        <v>18.64</v>
      </c>
      <c r="BV57" s="32"/>
      <c r="BW57" s="73" t="e">
        <f ca="1">SQRT(22.5*(BJ57/VLOOKUP(BK57,Fundamentus!A:U,3,FALSE))*(BJ57/VLOOKUP(BK57,Fundamentus!A:U,4,FALSE)))</f>
        <v>#NUM!</v>
      </c>
      <c r="BY57" s="72">
        <f t="shared" ca="1" si="0"/>
        <v>3.0623608017817411E-2</v>
      </c>
      <c r="BZ57" s="8"/>
      <c r="CA57" s="71">
        <f t="shared" si="36"/>
        <v>16.7</v>
      </c>
      <c r="CB57" s="71">
        <f t="shared" si="1"/>
        <v>23.61</v>
      </c>
      <c r="CC57" s="71">
        <f t="shared" si="37"/>
        <v>19.54188524590165</v>
      </c>
      <c r="CD57" s="17"/>
      <c r="CE57" s="43">
        <f t="shared" si="19"/>
        <v>16.264429967077611</v>
      </c>
      <c r="CF57" s="18">
        <f>FORECAST("04/07/2025", BF57:BI57, $BF$5:$BI$5)</f>
        <v>17.404999999999745</v>
      </c>
      <c r="CG57" s="43">
        <f t="shared" si="20"/>
        <v>18.54557003292188</v>
      </c>
      <c r="CI57" s="17"/>
      <c r="CJ57" s="20">
        <f>CA57-2*(CB57-CM57)</f>
        <v>8.3266666666666715</v>
      </c>
      <c r="CK57" s="20">
        <f>CM57-(CB57-CA57)</f>
        <v>12.513333333333335</v>
      </c>
      <c r="CL57" s="20">
        <f>2*CM57-CB57</f>
        <v>15.236666666666672</v>
      </c>
      <c r="CM57" s="48">
        <f>(CB57+CA57+BI57)/3</f>
        <v>19.423333333333336</v>
      </c>
      <c r="CN57" s="20">
        <f>2*CM57-CA57</f>
        <v>22.146666666666672</v>
      </c>
      <c r="CO57" s="20">
        <f>CM57+(CB57-CA57)</f>
        <v>26.333333333333336</v>
      </c>
      <c r="CP57" s="20">
        <f>CB57+2*(CM57-CA57)</f>
        <v>29.056666666666672</v>
      </c>
      <c r="CQ57" s="2" cm="1">
        <f t="array" aca="1" ref="CQ57" ca="1">MAX(_xlfn._xlws.FILTER(CJ57:CP57,CJ57:CP57&lt;BJ57))</f>
        <v>15.236666666666672</v>
      </c>
      <c r="CR57" s="2" cm="1">
        <f t="array" aca="1" ref="CR57" ca="1">MIN(_xlfn._xlws.FILTER($CJ57:$CP57,$CJ57:$CP57&gt;BJ57))</f>
        <v>19.423333333333336</v>
      </c>
      <c r="CS57" s="19">
        <f t="shared" ca="1" si="72"/>
        <v>0.27477576022752115</v>
      </c>
      <c r="CT57" s="23">
        <f t="shared" ca="1" si="73"/>
        <v>-0.13738788011376057</v>
      </c>
      <c r="CU57" s="23">
        <f t="shared" ca="1" si="74"/>
        <v>-9.1591920075840383E-2</v>
      </c>
      <c r="CV57" s="23">
        <f t="shared" ca="1" si="75"/>
        <v>-5.4955152045504232E-2</v>
      </c>
      <c r="CW57" s="23">
        <f t="shared" ca="1" si="76"/>
        <v>-3.0530640025280126E-2</v>
      </c>
      <c r="CX57" s="23">
        <f t="shared" ca="1" si="77"/>
        <v>-1.6163280013383598E-2</v>
      </c>
      <c r="CY57" s="23">
        <f t="shared" ca="1" si="78"/>
        <v>-8.3265381887127621E-3</v>
      </c>
      <c r="CZ57" s="23">
        <f t="shared" ca="1" si="79"/>
        <v>-4.2273193881157099E-3</v>
      </c>
      <c r="DA57" s="24">
        <f t="shared" ca="1" si="80"/>
        <v>4.2273193881157099E-3</v>
      </c>
      <c r="DB57" s="24">
        <f t="shared" ca="1" si="81"/>
        <v>8.3265381887127621E-3</v>
      </c>
      <c r="DC57" s="24">
        <f t="shared" ca="1" si="82"/>
        <v>1.6163280013383598E-2</v>
      </c>
      <c r="DD57" s="24">
        <f t="shared" ca="1" si="83"/>
        <v>3.0530640025280126E-2</v>
      </c>
      <c r="DE57" s="24">
        <f t="shared" ca="1" si="84"/>
        <v>5.4955152045504232E-2</v>
      </c>
      <c r="DF57" s="24">
        <f t="shared" ca="1" si="85"/>
        <v>9.1591920075840383E-2</v>
      </c>
      <c r="DG57" s="24">
        <f t="shared" ca="1" si="86"/>
        <v>0.13738788011376057</v>
      </c>
      <c r="DI57" s="19" cm="1">
        <f t="array" aca="1" ref="DI57" ca="1">MAX(_xlfn._xlws.FILTER(CT57:DG57,CT57:DG57&lt;BP57))</f>
        <v>3.0530640025280126E-2</v>
      </c>
      <c r="DJ57" s="19" cm="1">
        <f t="array" aca="1" ref="DJ57" ca="1">MIN(_xlfn._xlws.FILTER(CT57:DG57,CT57:DG57&gt;BP57))</f>
        <v>5.4955152045504232E-2</v>
      </c>
      <c r="DK57" s="2" cm="1">
        <f t="array" aca="1" ref="DK57" ca="1">_FV(EH57,"Fechamento anterior",TRUE)</f>
        <v>17.96</v>
      </c>
      <c r="DL57" s="36">
        <f ca="1">(BJ57-DM57)/(DN57-DM57)</f>
        <v>3.8063398138809585E-3</v>
      </c>
      <c r="DM57" s="18">
        <f t="shared" ca="1" si="87"/>
        <v>18.508330294854034</v>
      </c>
      <c r="DN57" s="18">
        <f t="shared" ca="1" si="88"/>
        <v>18.946994530737257</v>
      </c>
      <c r="DO57" s="9"/>
      <c r="DP57" s="9"/>
      <c r="DQ57" s="94">
        <v>9.611465104803589E-3</v>
      </c>
      <c r="DR57" s="94">
        <v>5.2426173298928654E-3</v>
      </c>
      <c r="DS57" s="94">
        <v>3.5363318609936733E-3</v>
      </c>
      <c r="DT57" s="94">
        <f t="shared" ca="1" si="12"/>
        <v>2.4424512020224106E-2</v>
      </c>
      <c r="DU57" s="87">
        <f ca="1">(BJ57-CF57)/(CF57-CE57)</f>
        <v>0.96881381073045714</v>
      </c>
      <c r="DV57" s="46"/>
      <c r="DW57" s="43">
        <f>_xlfn.STDEV.P(BF57:BI57)</f>
        <v>0.57028501646106688</v>
      </c>
      <c r="DX57" s="76">
        <f ca="1">BO57-$DT$2</f>
        <v>-0.25550000000000006</v>
      </c>
      <c r="DY57" s="76">
        <f ca="1">BO57-BP57*100</f>
        <v>-2.3207999999999998</v>
      </c>
      <c r="DZ57" s="101"/>
      <c r="EA57" s="100">
        <v>-0.61189999999999989</v>
      </c>
      <c r="EB57" s="107">
        <v>-1.6229999999999998</v>
      </c>
      <c r="EC57" s="107">
        <v>0.68450000000000011</v>
      </c>
      <c r="ED57" s="98">
        <f t="shared" ca="1" si="13"/>
        <v>2.0652999999999997</v>
      </c>
      <c r="EE57" s="66"/>
      <c r="EF57" s="66"/>
      <c r="EH57" s="2" t="e" vm="57">
        <v>#VALUE!</v>
      </c>
      <c r="EJ57" s="10" cm="1">
        <f t="array" aca="1" ref="EJ57" ca="1">_FV(EH57,"Ações em circulação",TRUE)</f>
        <v>1854869000</v>
      </c>
      <c r="EK57" s="21">
        <f>VLOOKUP(BK57,Fundamentus!A:U,5,FALSE)</f>
        <v>2.5790000000000002</v>
      </c>
      <c r="EL57" s="2">
        <f ca="1">(BJ57*EJ57)/EK57</f>
        <v>13312766649.864288</v>
      </c>
      <c r="EM57" s="20">
        <v>-1327887699.2136486</v>
      </c>
      <c r="EN57" s="20">
        <f t="shared" ca="1" si="14"/>
        <v>-1368552411.6060488</v>
      </c>
      <c r="EP57" s="19">
        <f t="shared" ca="1" si="15"/>
        <v>3.0623608017817494E-2</v>
      </c>
      <c r="EQ57" s="40" t="str">
        <f>IF(VLOOKUP(BK57,Fundamentus!A:U,3,FALSE)&lt;15,"Bom",IF(VLOOKUP(BK57,Fundamentus!A:U,3,FALSE)&gt;15,"Ruim","n/a"))</f>
        <v>Bom</v>
      </c>
      <c r="ER57" s="36" t="str">
        <f>IF(VLOOKUP(BK57,Fundamentus!A:U,4,FALSE)&lt;1,"Baixo",IF(VLOOKUP(BK57,Fundamentus!A:U,4,FALSE)&lt;1.5,"Moderado",IF(VLOOKUP(BK57,Fundamentus!A:U,4,FALSE)&gt;1.5,"Alto","n/a")))</f>
        <v>Alto</v>
      </c>
      <c r="ES57" s="20" t="str">
        <f>IF(VLOOKUP(BK57,Fundamentus!A:U,8,FALSE)&lt;0,"Risco elevado",IF(VLOOKUP(BK57,Fundamentus!A:U,8,FALSE)&lt;1,"Saudável",IF(VLOOKUP(BK57,Fundamentus!A:U,8,FALSE)&lt;3,"Estável",IF(VLOOKUP(BK57,Fundamentus!A:U,8,FALSE)&gt;3,"Alerta","n/a"))))</f>
        <v>Alerta</v>
      </c>
      <c r="ET57" s="36" t="str">
        <f t="shared" si="16"/>
        <v>Bom</v>
      </c>
      <c r="EU57" s="20" t="str">
        <f>IF(VLOOKUP(BK57,Fundamentus!A:U,12,FALSE)&lt;2,"Subvalorizada",IF(VLOOKUP(BK57,Fundamentus!A:U,12,FALSE)&lt;6,"Muita barata",IF(VLOOKUP(BK57,Fundamentus!A:U,12,FALSE)&lt;6,"Barata",IF(VLOOKUP(BK57,Fundamentus!A:U,12,FALSE)&lt;8,"Atrativa",IF(VLOOKUP(BK57,Fundamentus!A:U,12,FALSE)&gt;8,"Supervalorizada","n/a")))))</f>
        <v>Muita barata</v>
      </c>
      <c r="EW57" s="20" t="str">
        <f>IF(VLOOKUP(BK57,Fundamentus!A:U,17,FALSE)&lt;0.1,"Fraco retorno",IF(VLOOKUP(BK57,Fundamentus!A:U,17,FALSE)&gt;0.1,"Bom retorno","n/a"))</f>
        <v>Fraco retorno</v>
      </c>
      <c r="EX57" s="20" t="str">
        <f>IF(VLOOKUP(BK57,Fundamentus!A:U,16,FALSE)&lt;0.1,"Ineficiente",IF(VLOOKUP(BK57,Fundamentus!A:U,16,FALSE)&gt;0.1,"Eficiente","n/a"))</f>
        <v>Eficiente</v>
      </c>
      <c r="EY57" s="41" t="str">
        <f>IF(VLOOKUP(BK57,Fundamentus!A:U,16,FALSE)&lt;0.1,"Oper. Ineficiente",IF(VLOOKUP(BK57,Fundamentus!A:U,16,FALSE)&gt;0.1,"Oper.Eficiente","n/a"))</f>
        <v>Oper.Eficiente</v>
      </c>
      <c r="EZ57" s="42">
        <f>VLOOKUP(BK57,Fundamentus!A:U,14,FALSE)</f>
        <v>-0.1028</v>
      </c>
      <c r="FA57" s="20" t="str">
        <f>IF(VLOOKUP(BK57,Fundamentus!A:U,21,FALSE)&lt;0,"Negativo",IF(VLOOKUP(BK57,Fundamentus!A:U,21,FALSE)&lt;0.05,"Fraco",IF(VLOOKUP(BK57,Fundamentus!A:U,21,FALSE)&lt;0.1,"Bom",IF(VLOOKUP(BK57,Fundamentus!A:U,21,FALSE)&gt;0.1,"Muito bom","n/a"))))</f>
        <v>Muito bom</v>
      </c>
      <c r="FC57" s="37" t="str">
        <f>IF(VLOOKUP(BK57,Fundamentus!A:U,15,FALSE)&gt;1,"Bom",IF(VLOOKUP(BK57,Fundamentus!A:U,15,FALSE)&lt;1,"Ruim","n/a"))</f>
        <v>Bom</v>
      </c>
      <c r="FD57" s="20" t="str">
        <f>IF(VLOOKUP(BK57,Fundamentus!A:U,20,FALSE)&lt;0.5,"Baixa",IF(VLOOKUP(BK57,Fundamentus!A:U,20,FALSE)&lt;1,"Moderada",IF(VLOOKUP(BK57,Fundamentus!A:U,20,FALSE)&lt;2,"Alerta",IF(VLOOKUP(BK57,Fundamentus!A:U,20,FALSE)&gt;2,"Alta","n/a"))))</f>
        <v>Alerta</v>
      </c>
    </row>
    <row r="58" spans="1:160" s="2" customFormat="1" ht="11.25" hidden="1"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8">
        <v>26</v>
      </c>
      <c r="BC58" s="62">
        <v>25.46</v>
      </c>
      <c r="BD58" s="62">
        <v>24.97</v>
      </c>
      <c r="BE58" s="62">
        <v>24.97</v>
      </c>
      <c r="BF58" s="62">
        <v>25.2</v>
      </c>
      <c r="BG58" s="81">
        <v>24.4</v>
      </c>
      <c r="BH58" s="62">
        <v>25.26</v>
      </c>
      <c r="BI58" s="62">
        <v>25.62</v>
      </c>
      <c r="BJ58" s="62" cm="1">
        <f t="array" aca="1" ref="BJ58" ca="1">_FV(EH58,"Preço")</f>
        <v>26.04</v>
      </c>
      <c r="BK58" s="83" t="s">
        <v>55</v>
      </c>
      <c r="BL58" s="44" cm="1">
        <f t="array" aca="1" ref="BL58" ca="1">_FV(EH58,"Média de volume",TRUE)</f>
        <v>4158760</v>
      </c>
      <c r="BM58" s="44">
        <v>2126100</v>
      </c>
      <c r="BN58" s="44" cm="1">
        <f t="array" aca="1" ref="BN58" ca="1">_FV(EH58,"Volume")</f>
        <v>1345500</v>
      </c>
      <c r="BO58" s="32" cm="1">
        <f t="array" aca="1" ref="BO58" ca="1">_FV(EH58,"Beta")</f>
        <v>1.6887000000000001</v>
      </c>
      <c r="BP58" s="86" cm="1">
        <f t="array" aca="1" ref="BP58" ca="1">_FV(EH58,"Variação (%)",TRUE)</f>
        <v>1.6393000000000001E-2</v>
      </c>
      <c r="BQ58" s="48"/>
      <c r="BR58" s="48"/>
      <c r="BT58" s="20" cm="1">
        <f t="array" aca="1" ref="BT58" ca="1">_FV(EH58,"Baixo")</f>
        <v>25.36</v>
      </c>
      <c r="BU58" s="20" cm="1">
        <f t="array" aca="1" ref="BU58" ca="1">_FV(EH58,"Alto")</f>
        <v>26.19</v>
      </c>
      <c r="BV58" s="32"/>
      <c r="BW58" s="73">
        <f ca="1">SQRT(22.5*(BJ58/VLOOKUP(BK58,Fundamentus!A:U,3,FALSE))*(BJ58/VLOOKUP(BK58,Fundamentus!A:U,4,FALSE)))</f>
        <v>52.764516112477914</v>
      </c>
      <c r="BY58" s="72">
        <f t="shared" ca="1" si="0"/>
        <v>1.6393442622950748E-2</v>
      </c>
      <c r="BZ58" s="8"/>
      <c r="CA58" s="71">
        <f t="shared" si="36"/>
        <v>16.43</v>
      </c>
      <c r="CB58" s="71">
        <f t="shared" si="1"/>
        <v>26</v>
      </c>
      <c r="CC58" s="71">
        <f t="shared" si="37"/>
        <v>21.419426229508197</v>
      </c>
      <c r="CD58" s="17"/>
      <c r="CE58" s="43">
        <f t="shared" si="19"/>
        <v>24.758708801793574</v>
      </c>
      <c r="CF58" s="18">
        <f>FORECAST("04/07/2025", BF58:BI58, $BF$5:$BI$5)</f>
        <v>25.649999999999864</v>
      </c>
      <c r="CG58" s="43">
        <f t="shared" si="20"/>
        <v>26.541291198206153</v>
      </c>
      <c r="CI58" s="17"/>
      <c r="CJ58" s="20">
        <f>CA58-2*(CB58-CM58)</f>
        <v>9.7966666666666669</v>
      </c>
      <c r="CK58" s="20">
        <f>CM58-(CB58-CA58)</f>
        <v>13.113333333333333</v>
      </c>
      <c r="CL58" s="20">
        <f>2*CM58-CB58</f>
        <v>19.366666666666667</v>
      </c>
      <c r="CM58" s="48">
        <f>(CB58+CA58+BI58)/3</f>
        <v>22.683333333333334</v>
      </c>
      <c r="CN58" s="20">
        <f>2*CM58-CA58</f>
        <v>28.936666666666667</v>
      </c>
      <c r="CO58" s="20">
        <f>CM58+(CB58-CA58)</f>
        <v>32.25333333333333</v>
      </c>
      <c r="CP58" s="20">
        <f>CB58+2*(CM58-CA58)</f>
        <v>38.506666666666668</v>
      </c>
      <c r="CQ58" s="2" cm="1">
        <f t="array" aca="1" ref="CQ58" ca="1">MAX(_xlfn._xlws.FILTER(CJ58:CP58,CJ58:CP58&lt;BJ58))</f>
        <v>22.683333333333334</v>
      </c>
      <c r="CR58" s="2" cm="1">
        <f t="array" aca="1" ref="CR58" ca="1">MIN(_xlfn._xlws.FILTER($CJ58:$CP58,$CJ58:$CP58&gt;BJ58))</f>
        <v>28.936666666666667</v>
      </c>
      <c r="CS58" s="19">
        <f t="shared" ca="1" si="72"/>
        <v>0.27567964731814842</v>
      </c>
      <c r="CT58" s="23">
        <f t="shared" ca="1" si="73"/>
        <v>-0.13783982365907421</v>
      </c>
      <c r="CU58" s="23">
        <f t="shared" ca="1" si="74"/>
        <v>-9.1893215772716141E-2</v>
      </c>
      <c r="CV58" s="23">
        <f t="shared" ca="1" si="75"/>
        <v>-5.5135929463629683E-2</v>
      </c>
      <c r="CW58" s="23">
        <f t="shared" ca="1" si="76"/>
        <v>-3.0631071924238713E-2</v>
      </c>
      <c r="CX58" s="23">
        <f t="shared" ca="1" si="77"/>
        <v>-1.6216449842244025E-2</v>
      </c>
      <c r="CY58" s="23">
        <f t="shared" ca="1" si="78"/>
        <v>-8.3539287066105583E-3</v>
      </c>
      <c r="CZ58" s="23">
        <f t="shared" ca="1" si="79"/>
        <v>-4.2412253433561295E-3</v>
      </c>
      <c r="DA58" s="24">
        <f t="shared" ca="1" si="80"/>
        <v>4.2412253433561295E-3</v>
      </c>
      <c r="DB58" s="24">
        <f t="shared" ca="1" si="81"/>
        <v>8.3539287066105583E-3</v>
      </c>
      <c r="DC58" s="24">
        <f t="shared" ca="1" si="82"/>
        <v>1.6216449842244025E-2</v>
      </c>
      <c r="DD58" s="24">
        <f t="shared" ca="1" si="83"/>
        <v>3.0631071924238713E-2</v>
      </c>
      <c r="DE58" s="24">
        <f t="shared" ca="1" si="84"/>
        <v>5.5135929463629683E-2</v>
      </c>
      <c r="DF58" s="24">
        <f t="shared" ca="1" si="85"/>
        <v>9.1893215772716141E-2</v>
      </c>
      <c r="DG58" s="24">
        <f t="shared" ca="1" si="86"/>
        <v>0.13783982365907421</v>
      </c>
      <c r="DI58" s="19" cm="1">
        <f t="array" aca="1" ref="DI58" ca="1">MAX(_xlfn._xlws.FILTER(CT58:DG58,CT58:DG58&lt;BP58))</f>
        <v>1.6216449842244025E-2</v>
      </c>
      <c r="DJ58" s="19" cm="1">
        <f t="array" aca="1" ref="DJ58" ca="1">MIN(_xlfn._xlws.FILTER(CT58:DG58,CT58:DG58&gt;BP58))</f>
        <v>3.0631071924238713E-2</v>
      </c>
      <c r="DK58" s="2" cm="1">
        <f t="array" aca="1" ref="DK58" ca="1">_FV(EH58,"Fechamento anterior",TRUE)</f>
        <v>25.62</v>
      </c>
      <c r="DL58" s="36">
        <f ca="1">(BJ58-DM58)/(DN58-DM58)</f>
        <v>1.2278697263089789E-2</v>
      </c>
      <c r="DM58" s="18">
        <f t="shared" ca="1" si="87"/>
        <v>26.035465444958295</v>
      </c>
      <c r="DN58" s="18">
        <f t="shared" ca="1" si="88"/>
        <v>26.404768062698995</v>
      </c>
      <c r="DO58" s="9"/>
      <c r="DP58" s="9"/>
      <c r="DQ58" s="94">
        <v>7.1606475716064757E-3</v>
      </c>
      <c r="DR58" s="94">
        <v>6.6373203872288188E-3</v>
      </c>
      <c r="DS58" s="94">
        <v>1.3723240805125478E-2</v>
      </c>
      <c r="DT58" s="94">
        <f t="shared" ca="1" si="12"/>
        <v>1.4414622081994687E-2</v>
      </c>
      <c r="DU58" s="87">
        <f ca="1">(BJ58-CF58)/(CF58-CE58)</f>
        <v>0.43756743114372149</v>
      </c>
      <c r="DV58" s="46"/>
      <c r="DW58" s="43">
        <f>_xlfn.STDEV.P(BF58:BI58)</f>
        <v>0.44564559910314483</v>
      </c>
      <c r="DX58" s="76">
        <f ca="1">BO58-$DT$2</f>
        <v>0.69159999999999999</v>
      </c>
      <c r="DY58" s="76">
        <f ca="1">BO58-BP58*100</f>
        <v>4.9399999999999888E-2</v>
      </c>
      <c r="DZ58" s="101"/>
      <c r="EA58" s="100">
        <v>1.2942999999999998</v>
      </c>
      <c r="EB58" s="107">
        <v>0.84760000000000035</v>
      </c>
      <c r="EC58" s="107">
        <v>-0.6705000000000001</v>
      </c>
      <c r="ED58" s="98">
        <f t="shared" ca="1" si="13"/>
        <v>0.6422000000000001</v>
      </c>
      <c r="EE58" s="66"/>
      <c r="EF58" s="66"/>
      <c r="EH58" s="2" t="e" vm="58">
        <v>#VALUE!</v>
      </c>
      <c r="EJ58" s="10" cm="1">
        <f t="array" aca="1" ref="EJ58" ca="1">_FV(EH58,"Ações em circulação",TRUE)</f>
        <v>384000000</v>
      </c>
      <c r="EK58" s="21">
        <f>VLOOKUP(BK58,Fundamentus!A:U,5,FALSE)</f>
        <v>1.123</v>
      </c>
      <c r="EL58" s="2">
        <f ca="1">(BJ58*EJ58)/EK58</f>
        <v>8904149599.2876225</v>
      </c>
      <c r="EM58" s="20">
        <v>1528713232.4131789</v>
      </c>
      <c r="EN58" s="20">
        <f t="shared" ca="1" si="14"/>
        <v>1553774105.07569</v>
      </c>
      <c r="EP58" s="19">
        <f t="shared" ca="1" si="15"/>
        <v>1.6393442622950838E-2</v>
      </c>
      <c r="EQ58" s="40" t="str">
        <f>IF(VLOOKUP(BK58,Fundamentus!A:U,3,FALSE)&lt;15,"Bom",IF(VLOOKUP(BK58,Fundamentus!A:U,3,FALSE)&gt;15,"Ruim","n/a"))</f>
        <v>Bom</v>
      </c>
      <c r="ER58" s="36" t="str">
        <f>IF(VLOOKUP(BK58,Fundamentus!A:U,4,FALSE)&lt;1,"Baixo",IF(VLOOKUP(BK58,Fundamentus!A:U,4,FALSE)&lt;1.5,"Moderado",IF(VLOOKUP(BK58,Fundamentus!A:U,4,FALSE)&gt;1.5,"Alto","n/a")))</f>
        <v>Moderado</v>
      </c>
      <c r="ES58" s="20" t="str">
        <f>IF(VLOOKUP(BK58,Fundamentus!A:U,8,FALSE)&lt;0,"Risco elevado",IF(VLOOKUP(BK58,Fundamentus!A:U,8,FALSE)&lt;1,"Saudável",IF(VLOOKUP(BK58,Fundamentus!A:U,8,FALSE)&lt;3,"Estável",IF(VLOOKUP(BK58,Fundamentus!A:U,8,FALSE)&gt;3,"Alerta","n/a"))))</f>
        <v>Estável</v>
      </c>
      <c r="ET58" s="36" t="str">
        <f t="shared" si="16"/>
        <v>Bom</v>
      </c>
      <c r="EU58" s="20" t="str">
        <f>IF(VLOOKUP(BK58,Fundamentus!A:U,12,FALSE)&lt;2,"Subvalorizada",IF(VLOOKUP(BK58,Fundamentus!A:U,12,FALSE)&lt;6,"Muita barata",IF(VLOOKUP(BK58,Fundamentus!A:U,12,FALSE)&lt;6,"Barata",IF(VLOOKUP(BK58,Fundamentus!A:U,12,FALSE)&lt;8,"Atrativa",IF(VLOOKUP(BK58,Fundamentus!A:U,12,FALSE)&gt;8,"Supervalorizada","n/a")))))</f>
        <v>Atrativa</v>
      </c>
      <c r="EW58" s="20" t="str">
        <f>IF(VLOOKUP(BK58,Fundamentus!A:U,17,FALSE)&lt;0.1,"Fraco retorno",IF(VLOOKUP(BK58,Fundamentus!A:U,17,FALSE)&gt;0.1,"Bom retorno","n/a"))</f>
        <v>Bom retorno</v>
      </c>
      <c r="EX58" s="20" t="str">
        <f>IF(VLOOKUP(BK58,Fundamentus!A:U,16,FALSE)&lt;0.1,"Ineficiente",IF(VLOOKUP(BK58,Fundamentus!A:U,16,FALSE)&gt;0.1,"Eficiente","n/a"))</f>
        <v>Ineficiente</v>
      </c>
      <c r="EY58" s="41" t="str">
        <f>IF(VLOOKUP(BK58,Fundamentus!A:U,16,FALSE)&lt;0.1,"Oper. Ineficiente",IF(VLOOKUP(BK58,Fundamentus!A:U,16,FALSE)&gt;0.1,"Oper.Eficiente","n/a"))</f>
        <v>Oper. Ineficiente</v>
      </c>
      <c r="EZ58" s="42">
        <f>VLOOKUP(BK58,Fundamentus!A:U,14,FALSE)</f>
        <v>0.17449999999999999</v>
      </c>
      <c r="FA58" s="20" t="str">
        <f>IF(VLOOKUP(BK58,Fundamentus!A:U,21,FALSE)&lt;0,"Negativo",IF(VLOOKUP(BK58,Fundamentus!A:U,21,FALSE)&lt;0.05,"Fraco",IF(VLOOKUP(BK58,Fundamentus!A:U,21,FALSE)&lt;0.1,"Bom",IF(VLOOKUP(BK58,Fundamentus!A:U,21,FALSE)&gt;0.1,"Muito bom","n/a"))))</f>
        <v>Muito bom</v>
      </c>
      <c r="FC58" s="37" t="str">
        <f>IF(VLOOKUP(BK58,Fundamentus!A:U,15,FALSE)&gt;1,"Bom",IF(VLOOKUP(BK58,Fundamentus!A:U,15,FALSE)&lt;1,"Ruim","n/a"))</f>
        <v>Bom</v>
      </c>
      <c r="FD58" s="20" t="str">
        <f>IF(VLOOKUP(BK58,Fundamentus!A:U,20,FALSE)&lt;0.5,"Baixa",IF(VLOOKUP(BK58,Fundamentus!A:U,20,FALSE)&lt;1,"Moderada",IF(VLOOKUP(BK58,Fundamentus!A:U,20,FALSE)&lt;2,"Alerta",IF(VLOOKUP(BK58,Fundamentus!A:U,20,FALSE)&gt;2,"Alta","n/a"))))</f>
        <v>Moderada</v>
      </c>
    </row>
    <row r="59" spans="1:160" s="2" customFormat="1" ht="11.25" hidden="1"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8">
        <v>14.99</v>
      </c>
      <c r="BC59" s="62">
        <v>15.38</v>
      </c>
      <c r="BD59" s="62">
        <v>15.25</v>
      </c>
      <c r="BE59" s="62">
        <v>15.07</v>
      </c>
      <c r="BF59" s="62">
        <v>14.76</v>
      </c>
      <c r="BG59" s="81">
        <v>14.6</v>
      </c>
      <c r="BH59" s="62">
        <v>14.2</v>
      </c>
      <c r="BI59" s="62">
        <v>14.38</v>
      </c>
      <c r="BJ59" s="62" cm="1">
        <f t="array" aca="1" ref="BJ59" ca="1">_FV(EH59,"Preço")</f>
        <v>14.66</v>
      </c>
      <c r="BK59" s="83" t="s">
        <v>56</v>
      </c>
      <c r="BL59" s="44" cm="1">
        <f t="array" aca="1" ref="BL59" ca="1">_FV(EH59,"Média de volume",TRUE)</f>
        <v>5045400</v>
      </c>
      <c r="BM59" s="44">
        <v>3306700</v>
      </c>
      <c r="BN59" s="44" cm="1">
        <f t="array" aca="1" ref="BN59" ca="1">_FV(EH59,"Volume")</f>
        <v>1522700</v>
      </c>
      <c r="BO59" s="32" cm="1">
        <f t="array" aca="1" ref="BO59" ca="1">_FV(EH59,"Beta")</f>
        <v>0.95230000000000004</v>
      </c>
      <c r="BP59" s="86" cm="1">
        <f t="array" aca="1" ref="BP59" ca="1">_FV(EH59,"Variação (%)",TRUE)</f>
        <v>1.9471000000000002E-2</v>
      </c>
      <c r="BQ59" s="48"/>
      <c r="BR59" s="48"/>
      <c r="BT59" s="20" cm="1">
        <f t="array" aca="1" ref="BT59" ca="1">_FV(EH59,"Baixo")</f>
        <v>14.4</v>
      </c>
      <c r="BU59" s="20" cm="1">
        <f t="array" aca="1" ref="BU59" ca="1">_FV(EH59,"Alto")</f>
        <v>14.69</v>
      </c>
      <c r="BV59" s="32"/>
      <c r="BW59" s="73">
        <f ca="1">SQRT(22.5*(BJ59/VLOOKUP(BK59,Fundamentus!A:U,3,FALSE))*(BJ59/VLOOKUP(BK59,Fundamentus!A:U,4,FALSE)))</f>
        <v>11.83778284379456</v>
      </c>
      <c r="BY59" s="72">
        <f t="shared" ca="1" si="0"/>
        <v>1.9471488178024989E-2</v>
      </c>
      <c r="BZ59" s="8"/>
      <c r="CA59" s="71">
        <f t="shared" si="36"/>
        <v>13.9</v>
      </c>
      <c r="CB59" s="71">
        <f t="shared" si="1"/>
        <v>16.63</v>
      </c>
      <c r="CC59" s="71">
        <f t="shared" si="37"/>
        <v>14.917868852459019</v>
      </c>
      <c r="CD59" s="17"/>
      <c r="CE59" s="43">
        <f t="shared" si="19"/>
        <v>13.674441543380958</v>
      </c>
      <c r="CF59" s="18">
        <f>FORECAST("04/07/2025", BF59:BI59, $BF$5:$BI$5)</f>
        <v>14.100000000000023</v>
      </c>
      <c r="CG59" s="43">
        <f t="shared" si="20"/>
        <v>14.525558456619088</v>
      </c>
      <c r="CI59" s="17"/>
      <c r="CJ59" s="20">
        <f>CA59-2*(CB59-CM59)</f>
        <v>10.580000000000004</v>
      </c>
      <c r="CK59" s="20">
        <f>CM59-(CB59-CA59)</f>
        <v>12.240000000000002</v>
      </c>
      <c r="CL59" s="20">
        <f>2*CM59-CB59</f>
        <v>13.310000000000002</v>
      </c>
      <c r="CM59" s="48">
        <f>(CB59+CA59+BI59)/3</f>
        <v>14.97</v>
      </c>
      <c r="CN59" s="20">
        <f>2*CM59-CA59</f>
        <v>16.04</v>
      </c>
      <c r="CO59" s="20">
        <f>CM59+(CB59-CA59)</f>
        <v>17.7</v>
      </c>
      <c r="CP59" s="20">
        <f>CB59+2*(CM59-CA59)</f>
        <v>18.77</v>
      </c>
      <c r="CQ59" s="2" cm="1">
        <f t="array" aca="1" ref="CQ59" ca="1">MAX(_xlfn._xlws.FILTER(CJ59:CP59,CJ59:CP59&lt;BJ59))</f>
        <v>13.310000000000002</v>
      </c>
      <c r="CR59" s="2" cm="1">
        <f t="array" aca="1" ref="CR59" ca="1">MIN(_xlfn._xlws.FILTER($CJ59:$CP59,$CJ59:$CP59&gt;BJ59))</f>
        <v>14.97</v>
      </c>
      <c r="CS59" s="19">
        <f t="shared" ca="1" si="72"/>
        <v>0.12471825694966165</v>
      </c>
      <c r="CT59" s="23">
        <f t="shared" ca="1" si="73"/>
        <v>-6.2359128474830827E-2</v>
      </c>
      <c r="CU59" s="23">
        <f t="shared" ca="1" si="74"/>
        <v>-4.1572752316553885E-2</v>
      </c>
      <c r="CV59" s="23">
        <f t="shared" ca="1" si="75"/>
        <v>-2.494365138993233E-2</v>
      </c>
      <c r="CW59" s="23">
        <f t="shared" ca="1" si="76"/>
        <v>-1.3857584105517962E-2</v>
      </c>
      <c r="CX59" s="23">
        <f t="shared" ca="1" si="77"/>
        <v>-7.3363680558624503E-3</v>
      </c>
      <c r="CY59" s="23">
        <f t="shared" ca="1" si="78"/>
        <v>-3.779341119686717E-3</v>
      </c>
      <c r="CZ59" s="23">
        <f t="shared" ca="1" si="79"/>
        <v>-1.9187424146101793E-3</v>
      </c>
      <c r="DA59" s="24">
        <f t="shared" ca="1" si="80"/>
        <v>1.9187424146101793E-3</v>
      </c>
      <c r="DB59" s="24">
        <f t="shared" ca="1" si="81"/>
        <v>3.779341119686717E-3</v>
      </c>
      <c r="DC59" s="24">
        <f t="shared" ca="1" si="82"/>
        <v>7.3363680558624503E-3</v>
      </c>
      <c r="DD59" s="24">
        <f t="shared" ca="1" si="83"/>
        <v>1.3857584105517962E-2</v>
      </c>
      <c r="DE59" s="24">
        <f t="shared" ca="1" si="84"/>
        <v>2.494365138993233E-2</v>
      </c>
      <c r="DF59" s="24">
        <f t="shared" ca="1" si="85"/>
        <v>4.1572752316553885E-2</v>
      </c>
      <c r="DG59" s="24">
        <f t="shared" ca="1" si="86"/>
        <v>6.2359128474830827E-2</v>
      </c>
      <c r="DI59" s="19" cm="1">
        <f t="array" aca="1" ref="DI59" ca="1">MAX(_xlfn._xlws.FILTER(CT59:DG59,CT59:DG59&lt;BP59))</f>
        <v>1.3857584105517962E-2</v>
      </c>
      <c r="DJ59" s="19" cm="1">
        <f t="array" aca="1" ref="DJ59" ca="1">MIN(_xlfn._xlws.FILTER(CT59:DG59,CT59:DG59&gt;BP59))</f>
        <v>2.494365138993233E-2</v>
      </c>
      <c r="DK59" s="2" cm="1">
        <f t="array" aca="1" ref="DK59" ca="1">_FV(EH59,"Fechamento anterior",TRUE)</f>
        <v>14.38</v>
      </c>
      <c r="DL59" s="36">
        <f ca="1">(BJ59-DM59)/(DN59-DM59)</f>
        <v>0.50639274762471587</v>
      </c>
      <c r="DM59" s="18">
        <f t="shared" ca="1" si="87"/>
        <v>14.579272059437349</v>
      </c>
      <c r="DN59" s="18">
        <f t="shared" ca="1" si="88"/>
        <v>14.738689706987227</v>
      </c>
      <c r="DO59" s="9"/>
      <c r="DP59" s="9"/>
      <c r="DQ59" s="94">
        <v>3.4660553589578079E-3</v>
      </c>
      <c r="DR59" s="94">
        <v>5.8922941102282746E-3</v>
      </c>
      <c r="DS59" s="94">
        <v>1.7590204362560027E-3</v>
      </c>
      <c r="DT59" s="94">
        <f t="shared" ca="1" si="12"/>
        <v>1.1086067284414369E-2</v>
      </c>
      <c r="DU59" s="87">
        <f ca="1">(BJ59-CF59)/(CF59-CE59)</f>
        <v>1.3159179221792712</v>
      </c>
      <c r="DV59" s="46"/>
      <c r="DW59" s="43">
        <f>_xlfn.STDEV.P(BF59:BI59)</f>
        <v>0.21277922830953216</v>
      </c>
      <c r="DX59" s="76">
        <f ca="1">BO59-$DT$2</f>
        <v>-4.4800000000000062E-2</v>
      </c>
      <c r="DY59" s="76">
        <f ca="1">BO59-BP59*100</f>
        <v>-0.99480000000000024</v>
      </c>
      <c r="DZ59" s="101"/>
      <c r="EA59" s="100">
        <v>-1.06</v>
      </c>
      <c r="EB59" s="107">
        <v>-0.96199999999999974</v>
      </c>
      <c r="EC59" s="107">
        <v>-0.37240000000000006</v>
      </c>
      <c r="ED59" s="98">
        <f t="shared" ca="1" si="13"/>
        <v>0.95000000000000018</v>
      </c>
      <c r="EE59" s="66"/>
      <c r="EF59" s="66"/>
      <c r="EH59" s="2" t="e" vm="59">
        <v>#VALUE!</v>
      </c>
      <c r="EJ59" s="10" cm="1">
        <f t="array" aca="1" ref="EJ59" ca="1">_FV(EH59,"Ações em circulação",TRUE)</f>
        <v>3000000000</v>
      </c>
      <c r="EK59" s="21">
        <f>VLOOKUP(BK59,Fundamentus!A:U,5,FALSE)</f>
        <v>0</v>
      </c>
      <c r="EL59" s="2" t="e">
        <f ca="1">(BJ59*EJ59)/EK59</f>
        <v>#DIV/0!</v>
      </c>
      <c r="EM59" s="20" t="e">
        <v>#DIV/0!</v>
      </c>
      <c r="EN59" s="20" t="e">
        <f t="shared" ca="1" si="14"/>
        <v>#DIV/0!</v>
      </c>
      <c r="EP59" s="19" t="e">
        <f t="shared" ca="1" si="15"/>
        <v>#DIV/0!</v>
      </c>
      <c r="EQ59" s="40" t="str">
        <f>IF(VLOOKUP(BK59,Fundamentus!A:U,3,FALSE)&lt;15,"Bom",IF(VLOOKUP(BK59,Fundamentus!A:U,3,FALSE)&gt;15,"Ruim","n/a"))</f>
        <v>Bom</v>
      </c>
      <c r="ER59" s="36" t="str">
        <f>IF(VLOOKUP(BK59,Fundamentus!A:U,4,FALSE)&lt;1,"Baixo",IF(VLOOKUP(BK59,Fundamentus!A:U,4,FALSE)&lt;1.5,"Moderado",IF(VLOOKUP(BK59,Fundamentus!A:U,4,FALSE)&gt;1.5,"Alto","n/a")))</f>
        <v>Alto</v>
      </c>
      <c r="ES59" s="20" t="str">
        <f>IF(VLOOKUP(BK59,Fundamentus!A:U,8,FALSE)&lt;0,"Risco elevado",IF(VLOOKUP(BK59,Fundamentus!A:U,8,FALSE)&lt;1,"Saudável",IF(VLOOKUP(BK59,Fundamentus!A:U,8,FALSE)&lt;3,"Estável",IF(VLOOKUP(BK59,Fundamentus!A:U,8,FALSE)&gt;3,"Alerta","n/a"))))</f>
        <v>Alerta</v>
      </c>
      <c r="ET59" s="36" t="str">
        <f t="shared" si="16"/>
        <v>Ruim</v>
      </c>
      <c r="EU59" s="20" t="str">
        <f>IF(VLOOKUP(BK59,Fundamentus!A:U,12,FALSE)&lt;2,"Subvalorizada",IF(VLOOKUP(BK59,Fundamentus!A:U,12,FALSE)&lt;6,"Muita barata",IF(VLOOKUP(BK59,Fundamentus!A:U,12,FALSE)&lt;6,"Barata",IF(VLOOKUP(BK59,Fundamentus!A:U,12,FALSE)&lt;8,"Atrativa",IF(VLOOKUP(BK59,Fundamentus!A:U,12,FALSE)&gt;8,"Supervalorizada","n/a")))))</f>
        <v>Subvalorizada</v>
      </c>
      <c r="EW59" s="20" t="str">
        <f>IF(VLOOKUP(BK59,Fundamentus!A:U,17,FALSE)&lt;0.1,"Fraco retorno",IF(VLOOKUP(BK59,Fundamentus!A:U,17,FALSE)&gt;0.1,"Bom retorno","n/a"))</f>
        <v>Bom retorno</v>
      </c>
      <c r="EX59" s="20" t="str">
        <f>IF(VLOOKUP(BK59,Fundamentus!A:U,16,FALSE)&lt;0.1,"Ineficiente",IF(VLOOKUP(BK59,Fundamentus!A:U,16,FALSE)&gt;0.1,"Eficiente","n/a"))</f>
        <v>Ineficiente</v>
      </c>
      <c r="EY59" s="41" t="str">
        <f>IF(VLOOKUP(BK59,Fundamentus!A:U,16,FALSE)&lt;0.1,"Oper. Ineficiente",IF(VLOOKUP(BK59,Fundamentus!A:U,16,FALSE)&gt;0.1,"Oper.Eficiente","n/a"))</f>
        <v>Oper. Ineficiente</v>
      </c>
      <c r="EZ59" s="42">
        <f>VLOOKUP(BK59,Fundamentus!A:U,14,FALSE)</f>
        <v>0</v>
      </c>
      <c r="FA59" s="20" t="str">
        <f>IF(VLOOKUP(BK59,Fundamentus!A:U,21,FALSE)&lt;0,"Negativo",IF(VLOOKUP(BK59,Fundamentus!A:U,21,FALSE)&lt;0.05,"Fraco",IF(VLOOKUP(BK59,Fundamentus!A:U,21,FALSE)&lt;0.1,"Bom",IF(VLOOKUP(BK59,Fundamentus!A:U,21,FALSE)&gt;0.1,"Muito bom","n/a"))))</f>
        <v>Fraco</v>
      </c>
      <c r="FC59" s="37" t="str">
        <f>IF(VLOOKUP(BK59,Fundamentus!A:U,15,FALSE)&gt;1,"Bom",IF(VLOOKUP(BK59,Fundamentus!A:U,15,FALSE)&lt;1,"Ruim","n/a"))</f>
        <v>Bom</v>
      </c>
      <c r="FD59" s="20" t="str">
        <f>IF(VLOOKUP(BK59,Fundamentus!A:U,20,FALSE)&lt;0.5,"Baixa",IF(VLOOKUP(BK59,Fundamentus!A:U,20,FALSE)&lt;1,"Moderada",IF(VLOOKUP(BK59,Fundamentus!A:U,20,FALSE)&lt;2,"Alerta",IF(VLOOKUP(BK59,Fundamentus!A:U,20,FALSE)&gt;2,"Alta","n/a"))))</f>
        <v>Baixa</v>
      </c>
    </row>
    <row r="60" spans="1:160" s="2" customFormat="1" ht="11.25" hidden="1"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8">
        <v>7.1</v>
      </c>
      <c r="BC60" s="62">
        <v>6.93</v>
      </c>
      <c r="BD60" s="62">
        <v>6.8</v>
      </c>
      <c r="BE60" s="62">
        <v>7.12</v>
      </c>
      <c r="BF60" s="62">
        <v>7.16</v>
      </c>
      <c r="BG60" s="81">
        <v>7.07</v>
      </c>
      <c r="BH60" s="62">
        <v>7.07</v>
      </c>
      <c r="BI60" s="62">
        <v>6.84</v>
      </c>
      <c r="BJ60" s="62" cm="1">
        <f t="array" aca="1" ref="BJ60" ca="1">_FV(EH60,"Preço")</f>
        <v>6.93</v>
      </c>
      <c r="BK60" s="83" t="s">
        <v>57</v>
      </c>
      <c r="BL60" s="44" cm="1">
        <f t="array" aca="1" ref="BL60" ca="1">_FV(EH60,"Média de volume",TRUE)</f>
        <v>43320</v>
      </c>
      <c r="BM60" s="44">
        <v>56300</v>
      </c>
      <c r="BN60" s="44" cm="1">
        <f t="array" aca="1" ref="BN60" ca="1">_FV(EH60,"Volume")</f>
        <v>3900</v>
      </c>
      <c r="BO60" s="32" cm="1">
        <f t="array" aca="1" ref="BO60" ca="1">_FV(EH60,"Beta")</f>
        <v>1.2258</v>
      </c>
      <c r="BP60" s="86" cm="1">
        <f t="array" aca="1" ref="BP60" ca="1">_FV(EH60,"Variação (%)",TRUE)</f>
        <v>1.3158000000000001E-2</v>
      </c>
      <c r="BQ60" s="48"/>
      <c r="BR60" s="48"/>
      <c r="BT60" s="20" cm="1">
        <f t="array" aca="1" ref="BT60" ca="1">_FV(EH60,"Baixo")</f>
        <v>6.85</v>
      </c>
      <c r="BU60" s="20" cm="1">
        <f t="array" aca="1" ref="BU60" ca="1">_FV(EH60,"Alto")</f>
        <v>6.93</v>
      </c>
      <c r="BV60" s="32"/>
      <c r="BW60" s="73">
        <f ca="1">SQRT(22.5*(BJ60/VLOOKUP(BK60,Fundamentus!A:U,3,FALSE))*(BJ60/VLOOKUP(BK60,Fundamentus!A:U,4,FALSE)))</f>
        <v>20.621590627301281</v>
      </c>
      <c r="BY60" s="72">
        <f t="shared" ca="1" si="0"/>
        <v>1.3157894736842085E-2</v>
      </c>
      <c r="BZ60" s="8"/>
      <c r="CA60" s="71">
        <f t="shared" si="36"/>
        <v>6.66</v>
      </c>
      <c r="CB60" s="71">
        <f t="shared" si="1"/>
        <v>8.8800000000000008</v>
      </c>
      <c r="CC60" s="71">
        <f t="shared" si="37"/>
        <v>7.35844262295082</v>
      </c>
      <c r="CD60" s="17"/>
      <c r="CE60" s="43">
        <f t="shared" si="19"/>
        <v>6.5581456143534185</v>
      </c>
      <c r="CF60" s="18">
        <f>FORECAST("04/07/2025", BF60:BI60, $BF$5:$BI$5)</f>
        <v>6.7949999999999591</v>
      </c>
      <c r="CG60" s="43">
        <f t="shared" si="20"/>
        <v>7.0318543856464997</v>
      </c>
      <c r="CI60" s="17"/>
      <c r="CJ60" s="20">
        <f>CA60-2*(CB60-CM60)</f>
        <v>3.8200000000000003</v>
      </c>
      <c r="CK60" s="20">
        <f>CM60-(CB60-CA60)</f>
        <v>5.24</v>
      </c>
      <c r="CL60" s="20">
        <f>2*CM60-CB60</f>
        <v>6.0400000000000009</v>
      </c>
      <c r="CM60" s="48">
        <f>(CB60+CA60+BI60)/3</f>
        <v>7.4600000000000009</v>
      </c>
      <c r="CN60" s="20">
        <f>2*CM60-CA60</f>
        <v>8.2600000000000016</v>
      </c>
      <c r="CO60" s="20">
        <f>CM60+(CB60-CA60)</f>
        <v>9.6800000000000015</v>
      </c>
      <c r="CP60" s="20">
        <f>CB60+2*(CM60-CA60)</f>
        <v>10.480000000000002</v>
      </c>
      <c r="CQ60" s="2" cm="1">
        <f t="array" aca="1" ref="CQ60" ca="1">MAX(_xlfn._xlws.FILTER(CJ60:CP60,CJ60:CP60&lt;BJ60))</f>
        <v>6.0400000000000009</v>
      </c>
      <c r="CR60" s="2" cm="1">
        <f t="array" aca="1" ref="CR60" ca="1">MIN(_xlfn._xlws.FILTER($CJ60:$CP60,$CJ60:$CP60&gt;BJ60))</f>
        <v>7.4600000000000009</v>
      </c>
      <c r="CS60" s="19">
        <f t="shared" ca="1" si="72"/>
        <v>0.23509933774834435</v>
      </c>
      <c r="CT60" s="23">
        <f t="shared" ca="1" si="73"/>
        <v>-0.11754966887417218</v>
      </c>
      <c r="CU60" s="23">
        <f t="shared" ca="1" si="74"/>
        <v>-7.8366445916114788E-2</v>
      </c>
      <c r="CV60" s="23">
        <f t="shared" ca="1" si="75"/>
        <v>-4.7019867549668873E-2</v>
      </c>
      <c r="CW60" s="23">
        <f t="shared" ca="1" si="76"/>
        <v>-2.6122148638704927E-2</v>
      </c>
      <c r="CX60" s="23">
        <f t="shared" ca="1" si="77"/>
        <v>-1.3829372808726138E-2</v>
      </c>
      <c r="CY60" s="23">
        <f t="shared" ca="1" si="78"/>
        <v>-7.124222356010435E-3</v>
      </c>
      <c r="CZ60" s="23">
        <f t="shared" ca="1" si="79"/>
        <v>-3.6169128884360668E-3</v>
      </c>
      <c r="DA60" s="24">
        <f t="shared" ca="1" si="80"/>
        <v>3.6169128884360668E-3</v>
      </c>
      <c r="DB60" s="24">
        <f t="shared" ca="1" si="81"/>
        <v>7.124222356010435E-3</v>
      </c>
      <c r="DC60" s="24">
        <f t="shared" ca="1" si="82"/>
        <v>1.3829372808726138E-2</v>
      </c>
      <c r="DD60" s="24">
        <f t="shared" ca="1" si="83"/>
        <v>2.6122148638704927E-2</v>
      </c>
      <c r="DE60" s="24">
        <f t="shared" ca="1" si="84"/>
        <v>4.7019867549668873E-2</v>
      </c>
      <c r="DF60" s="24">
        <f t="shared" ca="1" si="85"/>
        <v>7.8366445916114788E-2</v>
      </c>
      <c r="DG60" s="24">
        <f t="shared" ca="1" si="86"/>
        <v>0.11754966887417218</v>
      </c>
      <c r="DI60" s="19" cm="1">
        <f t="array" aca="1" ref="DI60" ca="1">MAX(_xlfn._xlws.FILTER(CT60:DG60,CT60:DG60&lt;BP60))</f>
        <v>7.124222356010435E-3</v>
      </c>
      <c r="DJ60" s="19" cm="1">
        <f t="array" aca="1" ref="DJ60" ca="1">MIN(_xlfn._xlws.FILTER(CT60:DG60,CT60:DG60&gt;BP60))</f>
        <v>1.3829372808726138E-2</v>
      </c>
      <c r="DK60" s="2" cm="1">
        <f t="array" aca="1" ref="DK60" ca="1">_FV(EH60,"Fechamento anterior",TRUE)</f>
        <v>6.84</v>
      </c>
      <c r="DL60" s="36">
        <f ca="1">(BJ60-DM60)/(DN60-DM60)</f>
        <v>0.89985637509265537</v>
      </c>
      <c r="DM60" s="18">
        <f t="shared" ca="1" si="87"/>
        <v>6.8887296809151115</v>
      </c>
      <c r="DN60" s="18">
        <f t="shared" ca="1" si="88"/>
        <v>6.9345929100116868</v>
      </c>
      <c r="DO60" s="9"/>
      <c r="DP60" s="9"/>
      <c r="DQ60" s="94">
        <v>5.3623252456504794E-3</v>
      </c>
      <c r="DR60" s="94">
        <v>5.3623252456504794E-3</v>
      </c>
      <c r="DS60" s="94">
        <v>3.2358025899468343E-3</v>
      </c>
      <c r="DT60" s="94">
        <f t="shared" ca="1" si="12"/>
        <v>6.7051504527157026E-3</v>
      </c>
      <c r="DU60" s="87">
        <f ca="1">(BJ60-CF60)/(CF60-CE60)</f>
        <v>0.56997044674318198</v>
      </c>
      <c r="DV60" s="46"/>
      <c r="DW60" s="43">
        <f>_xlfn.STDEV.P(BF60:BI60)</f>
        <v>0.11842719282327026</v>
      </c>
      <c r="DX60" s="76">
        <f ca="1">BO60-$DT$2</f>
        <v>0.2286999999999999</v>
      </c>
      <c r="DY60" s="76">
        <f ca="1">BO60-BP60*100</f>
        <v>-9.000000000000008E-2</v>
      </c>
      <c r="DZ60" s="101"/>
      <c r="EA60" s="100">
        <v>-1.8259000000000001</v>
      </c>
      <c r="EB60" s="107">
        <v>3.5574000000000003</v>
      </c>
      <c r="EC60" s="107">
        <v>-1.4017999999999999</v>
      </c>
      <c r="ED60" s="98">
        <f t="shared" ca="1" si="13"/>
        <v>0.31869999999999998</v>
      </c>
      <c r="EE60" s="66"/>
      <c r="EF60" s="66"/>
      <c r="EH60" s="2" t="e" vm="60">
        <v>#VALUE!</v>
      </c>
      <c r="EJ60" s="10" cm="1">
        <f t="array" aca="1" ref="EJ60" ca="1">_FV(EH60,"Ações em circulação",TRUE)</f>
        <v>94507240</v>
      </c>
      <c r="EK60" s="21">
        <f>VLOOKUP(BK60,Fundamentus!A:U,5,FALSE)</f>
        <v>0.126</v>
      </c>
      <c r="EL60" s="2">
        <f ca="1">(BJ60*EJ60)/EK60</f>
        <v>5197898199.999999</v>
      </c>
      <c r="EM60" s="20">
        <v>106712174.9942857</v>
      </c>
      <c r="EN60" s="20">
        <f t="shared" ca="1" si="14"/>
        <v>108116282.55999997</v>
      </c>
      <c r="EP60" s="19">
        <f t="shared" ca="1" si="15"/>
        <v>1.3157894736842035E-2</v>
      </c>
      <c r="EQ60" s="40" t="str">
        <f>IF(VLOOKUP(BK60,Fundamentus!A:U,3,FALSE)&lt;15,"Bom",IF(VLOOKUP(BK60,Fundamentus!A:U,3,FALSE)&gt;15,"Ruim","n/a"))</f>
        <v>Bom</v>
      </c>
      <c r="ER60" s="36" t="str">
        <f>IF(VLOOKUP(BK60,Fundamentus!A:U,4,FALSE)&lt;1,"Baixo",IF(VLOOKUP(BK60,Fundamentus!A:U,4,FALSE)&lt;1.5,"Moderado",IF(VLOOKUP(BK60,Fundamentus!A:U,4,FALSE)&gt;1.5,"Alto","n/a")))</f>
        <v>Baixo</v>
      </c>
      <c r="ES60" s="20" t="str">
        <f>IF(VLOOKUP(BK60,Fundamentus!A:U,8,FALSE)&lt;0,"Risco elevado",IF(VLOOKUP(BK60,Fundamentus!A:U,8,FALSE)&lt;1,"Saudável",IF(VLOOKUP(BK60,Fundamentus!A:U,8,FALSE)&lt;3,"Estável",IF(VLOOKUP(BK60,Fundamentus!A:U,8,FALSE)&gt;3,"Alerta","n/a"))))</f>
        <v>Saudável</v>
      </c>
      <c r="ET60" s="36" t="str">
        <f t="shared" si="16"/>
        <v>Ruim</v>
      </c>
      <c r="EU60" s="20" t="str">
        <f>IF(VLOOKUP(BK60,Fundamentus!A:U,12,FALSE)&lt;2,"Subvalorizada",IF(VLOOKUP(BK60,Fundamentus!A:U,12,FALSE)&lt;6,"Muita barata",IF(VLOOKUP(BK60,Fundamentus!A:U,12,FALSE)&lt;6,"Barata",IF(VLOOKUP(BK60,Fundamentus!A:U,12,FALSE)&lt;8,"Atrativa",IF(VLOOKUP(BK60,Fundamentus!A:U,12,FALSE)&gt;8,"Supervalorizada","n/a")))))</f>
        <v>Muita barata</v>
      </c>
      <c r="EW60" s="20" t="str">
        <f>IF(VLOOKUP(BK60,Fundamentus!A:U,17,FALSE)&lt;0.1,"Fraco retorno",IF(VLOOKUP(BK60,Fundamentus!A:U,17,FALSE)&gt;0.1,"Bom retorno","n/a"))</f>
        <v>Fraco retorno</v>
      </c>
      <c r="EX60" s="20" t="str">
        <f>IF(VLOOKUP(BK60,Fundamentus!A:U,16,FALSE)&lt;0.1,"Ineficiente",IF(VLOOKUP(BK60,Fundamentus!A:U,16,FALSE)&gt;0.1,"Eficiente","n/a"))</f>
        <v>Ineficiente</v>
      </c>
      <c r="EY60" s="41" t="str">
        <f>IF(VLOOKUP(BK60,Fundamentus!A:U,16,FALSE)&lt;0.1,"Oper. Ineficiente",IF(VLOOKUP(BK60,Fundamentus!A:U,16,FALSE)&gt;0.1,"Oper.Eficiente","n/a"))</f>
        <v>Oper. Ineficiente</v>
      </c>
      <c r="EZ60" s="42">
        <f>VLOOKUP(BK60,Fundamentus!A:U,14,FALSE)</f>
        <v>2.0799999999999999E-2</v>
      </c>
      <c r="FA60" s="20" t="str">
        <f>IF(VLOOKUP(BK60,Fundamentus!A:U,21,FALSE)&lt;0,"Negativo",IF(VLOOKUP(BK60,Fundamentus!A:U,21,FALSE)&lt;0.05,"Fraco",IF(VLOOKUP(BK60,Fundamentus!A:U,21,FALSE)&lt;0.1,"Bom",IF(VLOOKUP(BK60,Fundamentus!A:U,21,FALSE)&gt;0.1,"Muito bom","n/a"))))</f>
        <v>Fraco</v>
      </c>
      <c r="FC60" s="37" t="str">
        <f>IF(VLOOKUP(BK60,Fundamentus!A:U,15,FALSE)&gt;1,"Bom",IF(VLOOKUP(BK60,Fundamentus!A:U,15,FALSE)&lt;1,"Ruim","n/a"))</f>
        <v>Bom</v>
      </c>
      <c r="FD60" s="20" t="str">
        <f>IF(VLOOKUP(BK60,Fundamentus!A:U,20,FALSE)&lt;0.5,"Baixa",IF(VLOOKUP(BK60,Fundamentus!A:U,20,FALSE)&lt;1,"Moderada",IF(VLOOKUP(BK60,Fundamentus!A:U,20,FALSE)&lt;2,"Alerta",IF(VLOOKUP(BK60,Fundamentus!A:U,20,FALSE)&gt;2,"Alta","n/a"))))</f>
        <v>Baixa</v>
      </c>
    </row>
    <row r="61" spans="1:160" s="2" customFormat="1" ht="11.25" hidden="1"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8">
        <v>7.88</v>
      </c>
      <c r="BC61" s="62">
        <v>8.1999999999999993</v>
      </c>
      <c r="BD61" s="62">
        <v>9.39</v>
      </c>
      <c r="BE61" s="62">
        <v>9.3800000000000008</v>
      </c>
      <c r="BF61" s="62">
        <v>9.23</v>
      </c>
      <c r="BG61" s="81">
        <v>8.85</v>
      </c>
      <c r="BH61" s="62">
        <v>9.0399999999999991</v>
      </c>
      <c r="BI61" s="62">
        <v>9.15</v>
      </c>
      <c r="BJ61" s="62" cm="1">
        <f t="array" aca="1" ref="BJ61" ca="1">_FV(EH61,"Preço")</f>
        <v>9.17</v>
      </c>
      <c r="BK61" s="83" t="s">
        <v>58</v>
      </c>
      <c r="BL61" s="44" cm="1">
        <f t="array" aca="1" ref="BL61" ca="1">_FV(EH61,"Média de volume",TRUE)</f>
        <v>98750</v>
      </c>
      <c r="BM61" s="44">
        <v>89600</v>
      </c>
      <c r="BN61" s="44" cm="1">
        <f t="array" aca="1" ref="BN61" ca="1">_FV(EH61,"Volume")</f>
        <v>28900</v>
      </c>
      <c r="BO61" s="32" cm="1">
        <f t="array" aca="1" ref="BO61" ca="1">_FV(EH61,"Beta")</f>
        <v>1.1133</v>
      </c>
      <c r="BP61" s="86" cm="1">
        <f t="array" aca="1" ref="BP61" ca="1">_FV(EH61,"Variação (%)",TRUE)</f>
        <v>2.186E-3</v>
      </c>
      <c r="BQ61" s="48"/>
      <c r="BR61" s="48"/>
      <c r="BT61" s="20" cm="1">
        <f t="array" aca="1" ref="BT61" ca="1">_FV(EH61,"Baixo")</f>
        <v>9.1</v>
      </c>
      <c r="BU61" s="20" cm="1">
        <f t="array" aca="1" ref="BU61" ca="1">_FV(EH61,"Alto")</f>
        <v>9.2200000000000006</v>
      </c>
      <c r="BV61" s="32"/>
      <c r="BW61" s="73">
        <f ca="1">SQRT(22.5*(BJ61/VLOOKUP(BK61,Fundamentus!A:U,3,FALSE))*(BJ61/VLOOKUP(BK61,Fundamentus!A:U,4,FALSE)))</f>
        <v>17.751268910249426</v>
      </c>
      <c r="BY61" s="72">
        <f t="shared" ca="1" si="0"/>
        <v>2.1857923497267291E-3</v>
      </c>
      <c r="BZ61" s="8"/>
      <c r="CA61" s="71">
        <f t="shared" si="36"/>
        <v>7.64</v>
      </c>
      <c r="CB61" s="71">
        <f t="shared" si="1"/>
        <v>11.1</v>
      </c>
      <c r="CC61" s="71">
        <f t="shared" si="37"/>
        <v>9.0431147540983599</v>
      </c>
      <c r="CD61" s="17"/>
      <c r="CE61" s="43">
        <f t="shared" si="19"/>
        <v>8.769912294197038</v>
      </c>
      <c r="CF61" s="18">
        <f>FORECAST("04/07/2025", BF61:BI61, $BF$5:$BI$5)</f>
        <v>9.0550000000000068</v>
      </c>
      <c r="CG61" s="43">
        <f t="shared" si="20"/>
        <v>9.3400877058029756</v>
      </c>
      <c r="CI61" s="17"/>
      <c r="CJ61" s="20">
        <f>CA61-2*(CB61-CM61)</f>
        <v>4.0333333333333341</v>
      </c>
      <c r="CK61" s="20">
        <f>CM61-(CB61-CA61)</f>
        <v>5.8366666666666669</v>
      </c>
      <c r="CL61" s="20">
        <f>2*CM61-CB61</f>
        <v>7.4933333333333341</v>
      </c>
      <c r="CM61" s="48">
        <f>(CB61+CA61+BI61)/3</f>
        <v>9.2966666666666669</v>
      </c>
      <c r="CN61" s="20">
        <f>2*CM61-CA61</f>
        <v>10.953333333333333</v>
      </c>
      <c r="CO61" s="20">
        <f>CM61+(CB61-CA61)</f>
        <v>12.756666666666668</v>
      </c>
      <c r="CP61" s="20">
        <f>CB61+2*(CM61-CA61)</f>
        <v>14.413333333333334</v>
      </c>
      <c r="CQ61" s="2" cm="1">
        <f t="array" aca="1" ref="CQ61" ca="1">MAX(_xlfn._xlws.FILTER(CJ61:CP61,CJ61:CP61&lt;BJ61))</f>
        <v>7.4933333333333341</v>
      </c>
      <c r="CR61" s="2" cm="1">
        <f t="array" aca="1" ref="CR61" ca="1">MIN(_xlfn._xlws.FILTER($CJ61:$CP61,$CJ61:$CP61&gt;BJ61))</f>
        <v>9.2966666666666669</v>
      </c>
      <c r="CS61" s="19">
        <f t="shared" ca="1" si="72"/>
        <v>0.24065836298932375</v>
      </c>
      <c r="CT61" s="23">
        <f t="shared" ca="1" si="73"/>
        <v>-0.12032918149466187</v>
      </c>
      <c r="CU61" s="23">
        <f t="shared" ca="1" si="74"/>
        <v>-8.0219454329774578E-2</v>
      </c>
      <c r="CV61" s="23">
        <f t="shared" ca="1" si="75"/>
        <v>-4.8131672597864751E-2</v>
      </c>
      <c r="CW61" s="23">
        <f t="shared" ca="1" si="76"/>
        <v>-2.6739818109924859E-2</v>
      </c>
      <c r="CX61" s="23">
        <f t="shared" ca="1" si="77"/>
        <v>-1.4156374293489633E-2</v>
      </c>
      <c r="CY61" s="23">
        <f t="shared" ca="1" si="78"/>
        <v>-7.2926776663431439E-3</v>
      </c>
      <c r="CZ61" s="23">
        <f t="shared" ca="1" si="79"/>
        <v>-3.702436353681904E-3</v>
      </c>
      <c r="DA61" s="24">
        <f t="shared" ca="1" si="80"/>
        <v>3.702436353681904E-3</v>
      </c>
      <c r="DB61" s="24">
        <f t="shared" ca="1" si="81"/>
        <v>7.2926776663431439E-3</v>
      </c>
      <c r="DC61" s="24">
        <f t="shared" ca="1" si="82"/>
        <v>1.4156374293489633E-2</v>
      </c>
      <c r="DD61" s="24">
        <f t="shared" ca="1" si="83"/>
        <v>2.6739818109924859E-2</v>
      </c>
      <c r="DE61" s="24">
        <f t="shared" ca="1" si="84"/>
        <v>4.8131672597864751E-2</v>
      </c>
      <c r="DF61" s="24">
        <f t="shared" ca="1" si="85"/>
        <v>8.0219454329774578E-2</v>
      </c>
      <c r="DG61" s="24">
        <f t="shared" ca="1" si="86"/>
        <v>0.12032918149466187</v>
      </c>
      <c r="DI61" s="19" cm="1">
        <f t="array" aca="1" ref="DI61" ca="1">MAX(_xlfn._xlws.FILTER(CT61:DG61,CT61:DG61&lt;BP61))</f>
        <v>-3.702436353681904E-3</v>
      </c>
      <c r="DJ61" s="19" cm="1">
        <f t="array" aca="1" ref="DJ61" ca="1">MIN(_xlfn._xlws.FILTER(CT61:DG61,CT61:DG61&gt;BP61))</f>
        <v>3.702436353681904E-3</v>
      </c>
      <c r="DK61" s="2" cm="1">
        <f t="array" aca="1" ref="DK61" ca="1">_FV(EH61,"Fechamento anterior",TRUE)</f>
        <v>9.15</v>
      </c>
      <c r="DL61" s="36">
        <f ca="1">(BJ61-DM61)/(DN61-DM61)</f>
        <v>0.79518297425329909</v>
      </c>
      <c r="DM61" s="18">
        <f t="shared" ca="1" si="87"/>
        <v>9.1161227073638109</v>
      </c>
      <c r="DN61" s="18">
        <f t="shared" ca="1" si="88"/>
        <v>9.1838772926361898</v>
      </c>
      <c r="DO61" s="9"/>
      <c r="DP61" s="9"/>
      <c r="DQ61" s="94">
        <v>7.8901511086582124E-3</v>
      </c>
      <c r="DR61" s="94">
        <v>1.3413256884718967E-2</v>
      </c>
      <c r="DS61" s="94">
        <v>2.3197237456835277E-2</v>
      </c>
      <c r="DT61" s="94">
        <f t="shared" ca="1" si="12"/>
        <v>7.404872707363808E-3</v>
      </c>
      <c r="DU61" s="87">
        <f ca="1">(BJ61-CF61)/(CF61-CE61)</f>
        <v>0.403384634479722</v>
      </c>
      <c r="DV61" s="46"/>
      <c r="DW61" s="43">
        <f>_xlfn.STDEV.P(BF61:BI61)</f>
        <v>0.14254385290148466</v>
      </c>
      <c r="DX61" s="76">
        <f ca="1">BO61-$DT$2</f>
        <v>0.11619999999999986</v>
      </c>
      <c r="DY61" s="76">
        <f ca="1">BO61-BP61*100</f>
        <v>0.89469999999999994</v>
      </c>
      <c r="DZ61" s="101"/>
      <c r="EA61" s="100">
        <v>2.6555999999999997</v>
      </c>
      <c r="EB61" s="107">
        <v>0.36470000000000002</v>
      </c>
      <c r="EC61" s="107">
        <v>-3.71999999999999E-2</v>
      </c>
      <c r="ED61" s="98">
        <f t="shared" ca="1" si="13"/>
        <v>-0.77850000000000008</v>
      </c>
      <c r="EE61" s="66"/>
      <c r="EF61" s="66"/>
      <c r="EH61" s="2" t="e" vm="61">
        <v>#VALUE!</v>
      </c>
      <c r="EJ61" s="10" cm="1">
        <f t="array" aca="1" ref="EJ61" ca="1">_FV(EH61,"Ações em circulação",TRUE)</f>
        <v>103538800</v>
      </c>
      <c r="EK61" s="21">
        <f>VLOOKUP(BK61,Fundamentus!A:U,5,FALSE)</f>
        <v>0.47799999999999998</v>
      </c>
      <c r="EL61" s="2">
        <f ca="1">(BJ61*EJ61)/EK61</f>
        <v>1986298736.4016738</v>
      </c>
      <c r="EM61" s="20">
        <v>156575358.9539749</v>
      </c>
      <c r="EN61" s="20">
        <f t="shared" ca="1" si="14"/>
        <v>156917600.17573223</v>
      </c>
      <c r="EP61" s="19">
        <f t="shared" ca="1" si="15"/>
        <v>2.1857923497268228E-3</v>
      </c>
      <c r="EQ61" s="40" t="str">
        <f>IF(VLOOKUP(BK61,Fundamentus!A:U,3,FALSE)&lt;15,"Bom",IF(VLOOKUP(BK61,Fundamentus!A:U,3,FALSE)&gt;15,"Ruim","n/a"))</f>
        <v>Bom</v>
      </c>
      <c r="ER61" s="36" t="str">
        <f>IF(VLOOKUP(BK61,Fundamentus!A:U,4,FALSE)&lt;1,"Baixo",IF(VLOOKUP(BK61,Fundamentus!A:U,4,FALSE)&lt;1.5,"Moderado",IF(VLOOKUP(BK61,Fundamentus!A:U,4,FALSE)&gt;1.5,"Alto","n/a")))</f>
        <v>Baixo</v>
      </c>
      <c r="ES61" s="20" t="str">
        <f>IF(VLOOKUP(BK61,Fundamentus!A:U,8,FALSE)&lt;0,"Risco elevado",IF(VLOOKUP(BK61,Fundamentus!A:U,8,FALSE)&lt;1,"Saudável",IF(VLOOKUP(BK61,Fundamentus!A:U,8,FALSE)&lt;3,"Estável",IF(VLOOKUP(BK61,Fundamentus!A:U,8,FALSE)&gt;3,"Alerta","n/a"))))</f>
        <v>Estável</v>
      </c>
      <c r="ET61" s="36" t="str">
        <f t="shared" si="16"/>
        <v>Ruim</v>
      </c>
      <c r="EU61" s="20" t="str">
        <f>IF(VLOOKUP(BK61,Fundamentus!A:U,12,FALSE)&lt;2,"Subvalorizada",IF(VLOOKUP(BK61,Fundamentus!A:U,12,FALSE)&lt;6,"Muita barata",IF(VLOOKUP(BK61,Fundamentus!A:U,12,FALSE)&lt;6,"Barata",IF(VLOOKUP(BK61,Fundamentus!A:U,12,FALSE)&lt;8,"Atrativa",IF(VLOOKUP(BK61,Fundamentus!A:U,12,FALSE)&gt;8,"Supervalorizada","n/a")))))</f>
        <v>Muita barata</v>
      </c>
      <c r="EW61" s="20" t="str">
        <f>IF(VLOOKUP(BK61,Fundamentus!A:U,17,FALSE)&lt;0.1,"Fraco retorno",IF(VLOOKUP(BK61,Fundamentus!A:U,17,FALSE)&gt;0.1,"Bom retorno","n/a"))</f>
        <v>Bom retorno</v>
      </c>
      <c r="EX61" s="20" t="str">
        <f>IF(VLOOKUP(BK61,Fundamentus!A:U,16,FALSE)&lt;0.1,"Ineficiente",IF(VLOOKUP(BK61,Fundamentus!A:U,16,FALSE)&gt;0.1,"Eficiente","n/a"))</f>
        <v>Eficiente</v>
      </c>
      <c r="EY61" s="41" t="str">
        <f>IF(VLOOKUP(BK61,Fundamentus!A:U,16,FALSE)&lt;0.1,"Oper. Ineficiente",IF(VLOOKUP(BK61,Fundamentus!A:U,16,FALSE)&gt;0.1,"Oper.Eficiente","n/a"))</f>
        <v>Oper.Eficiente</v>
      </c>
      <c r="EZ61" s="42">
        <f>VLOOKUP(BK61,Fundamentus!A:U,14,FALSE)</f>
        <v>7.9000000000000001E-2</v>
      </c>
      <c r="FA61" s="20" t="str">
        <f>IF(VLOOKUP(BK61,Fundamentus!A:U,21,FALSE)&lt;0,"Negativo",IF(VLOOKUP(BK61,Fundamentus!A:U,21,FALSE)&lt;0.05,"Fraco",IF(VLOOKUP(BK61,Fundamentus!A:U,21,FALSE)&lt;0.1,"Bom",IF(VLOOKUP(BK61,Fundamentus!A:U,21,FALSE)&gt;0.1,"Muito bom","n/a"))))</f>
        <v>Muito bom</v>
      </c>
      <c r="FC61" s="37" t="str">
        <f>IF(VLOOKUP(BK61,Fundamentus!A:U,15,FALSE)&gt;1,"Bom",IF(VLOOKUP(BK61,Fundamentus!A:U,15,FALSE)&lt;1,"Ruim","n/a"))</f>
        <v>Bom</v>
      </c>
      <c r="FD61" s="20" t="str">
        <f>IF(VLOOKUP(BK61,Fundamentus!A:U,20,FALSE)&lt;0.5,"Baixa",IF(VLOOKUP(BK61,Fundamentus!A:U,20,FALSE)&lt;1,"Moderada",IF(VLOOKUP(BK61,Fundamentus!A:U,20,FALSE)&lt;2,"Alerta",IF(VLOOKUP(BK61,Fundamentus!A:U,20,FALSE)&gt;2,"Alta","n/a"))))</f>
        <v>Baixa</v>
      </c>
    </row>
    <row r="62" spans="1:160" s="2" customFormat="1" ht="11.25" hidden="1"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8">
        <v>23.88</v>
      </c>
      <c r="BC62" s="62">
        <v>26.17</v>
      </c>
      <c r="BD62" s="62">
        <v>27.1</v>
      </c>
      <c r="BE62" s="62">
        <v>26.96</v>
      </c>
      <c r="BF62" s="62">
        <v>25.93</v>
      </c>
      <c r="BG62" s="81">
        <v>25.39</v>
      </c>
      <c r="BH62" s="62">
        <v>25.56</v>
      </c>
      <c r="BI62" s="62">
        <v>25.13</v>
      </c>
      <c r="BJ62" s="62" cm="1">
        <f t="array" aca="1" ref="BJ62" ca="1">_FV(EH62,"Preço")</f>
        <v>25.55</v>
      </c>
      <c r="BK62" s="83" t="s">
        <v>59</v>
      </c>
      <c r="BL62" s="44" cm="1">
        <f t="array" aca="1" ref="BL62" ca="1">_FV(EH62,"Média de volume",TRUE)</f>
        <v>305430</v>
      </c>
      <c r="BM62" s="44">
        <v>166000</v>
      </c>
      <c r="BN62" s="44" cm="1">
        <f t="array" aca="1" ref="BN62" ca="1">_FV(EH62,"Volume")</f>
        <v>107300</v>
      </c>
      <c r="BO62" s="32" cm="1">
        <f t="array" aca="1" ref="BO62" ca="1">_FV(EH62,"Beta")</f>
        <v>1.3029999999999999</v>
      </c>
      <c r="BP62" s="86" cm="1">
        <f t="array" aca="1" ref="BP62" ca="1">_FV(EH62,"Variação (%)",TRUE)</f>
        <v>1.6712999999999999E-2</v>
      </c>
      <c r="BQ62" s="48"/>
      <c r="BR62" s="48"/>
      <c r="BT62" s="20" cm="1">
        <f t="array" aca="1" ref="BT62" ca="1">_FV(EH62,"Baixo")</f>
        <v>25</v>
      </c>
      <c r="BU62" s="20" cm="1">
        <f t="array" aca="1" ref="BU62" ca="1">_FV(EH62,"Alto")</f>
        <v>25.74</v>
      </c>
      <c r="BV62" s="32"/>
      <c r="BW62" s="73">
        <f ca="1">SQRT(22.5*(BJ62/VLOOKUP(BK62,Fundamentus!A:U,3,FALSE))*(BJ62/VLOOKUP(BK62,Fundamentus!A:U,4,FALSE)))</f>
        <v>42.667169772161778</v>
      </c>
      <c r="BY62" s="72">
        <f t="shared" ca="1" si="0"/>
        <v>1.6713091922005638E-2</v>
      </c>
      <c r="BZ62" s="8"/>
      <c r="CA62" s="71">
        <f t="shared" si="36"/>
        <v>15.18</v>
      </c>
      <c r="CB62" s="71">
        <f t="shared" si="1"/>
        <v>27.1</v>
      </c>
      <c r="CC62" s="71">
        <f t="shared" si="37"/>
        <v>22.314344262295084</v>
      </c>
      <c r="CD62" s="17"/>
      <c r="CE62" s="43">
        <f t="shared" si="19"/>
        <v>24.364074015041439</v>
      </c>
      <c r="CF62" s="18">
        <f>FORECAST("04/07/2025", BF62:BI62, $BF$5:$BI$5)</f>
        <v>24.944999999999936</v>
      </c>
      <c r="CG62" s="43">
        <f t="shared" si="20"/>
        <v>25.525925984958434</v>
      </c>
      <c r="CI62" s="17"/>
      <c r="CJ62" s="20">
        <f>CA62-2*(CB62-CM62)</f>
        <v>5.9199999999999946</v>
      </c>
      <c r="CK62" s="20">
        <f>CM62-(CB62-CA62)</f>
        <v>10.549999999999997</v>
      </c>
      <c r="CL62" s="20">
        <f>2*CM62-CB62</f>
        <v>17.839999999999996</v>
      </c>
      <c r="CM62" s="48">
        <f>(CB62+CA62+BI62)/3</f>
        <v>22.47</v>
      </c>
      <c r="CN62" s="20">
        <f>2*CM62-CA62</f>
        <v>29.759999999999998</v>
      </c>
      <c r="CO62" s="20">
        <f>CM62+(CB62-CA62)</f>
        <v>34.39</v>
      </c>
      <c r="CP62" s="20">
        <f>CB62+2*(CM62-CA62)</f>
        <v>41.68</v>
      </c>
      <c r="CQ62" s="2" cm="1">
        <f t="array" aca="1" ref="CQ62" ca="1">MAX(_xlfn._xlws.FILTER(CJ62:CP62,CJ62:CP62&lt;BJ62))</f>
        <v>22.47</v>
      </c>
      <c r="CR62" s="2" cm="1">
        <f t="array" aca="1" ref="CR62" ca="1">MIN(_xlfn._xlws.FILTER($CJ62:$CP62,$CJ62:$CP62&gt;BJ62))</f>
        <v>29.759999999999998</v>
      </c>
      <c r="CS62" s="19">
        <f t="shared" ca="1" si="72"/>
        <v>0.32443257676902526</v>
      </c>
      <c r="CT62" s="23">
        <f t="shared" ca="1" si="73"/>
        <v>-0.16221628838451263</v>
      </c>
      <c r="CU62" s="23">
        <f t="shared" ca="1" si="74"/>
        <v>-0.10814419225634175</v>
      </c>
      <c r="CV62" s="23">
        <f t="shared" ca="1" si="75"/>
        <v>-6.4886515353805047E-2</v>
      </c>
      <c r="CW62" s="23">
        <f t="shared" ca="1" si="76"/>
        <v>-3.6048064085447251E-2</v>
      </c>
      <c r="CX62" s="23">
        <f t="shared" ca="1" si="77"/>
        <v>-1.9084269221707369E-2</v>
      </c>
      <c r="CY62" s="23">
        <f t="shared" ca="1" si="78"/>
        <v>-9.8312902051219779E-3</v>
      </c>
      <c r="CZ62" s="23">
        <f t="shared" ca="1" si="79"/>
        <v>-4.9912704118311576E-3</v>
      </c>
      <c r="DA62" s="24">
        <f t="shared" ca="1" si="80"/>
        <v>4.9912704118311576E-3</v>
      </c>
      <c r="DB62" s="24">
        <f t="shared" ca="1" si="81"/>
        <v>9.8312902051219779E-3</v>
      </c>
      <c r="DC62" s="24">
        <f t="shared" ca="1" si="82"/>
        <v>1.9084269221707369E-2</v>
      </c>
      <c r="DD62" s="24">
        <f t="shared" ca="1" si="83"/>
        <v>3.6048064085447251E-2</v>
      </c>
      <c r="DE62" s="24">
        <f t="shared" ca="1" si="84"/>
        <v>6.4886515353805047E-2</v>
      </c>
      <c r="DF62" s="24">
        <f t="shared" ca="1" si="85"/>
        <v>0.10814419225634175</v>
      </c>
      <c r="DG62" s="24">
        <f t="shared" ca="1" si="86"/>
        <v>0.16221628838451263</v>
      </c>
      <c r="DI62" s="19" cm="1">
        <f t="array" aca="1" ref="DI62" ca="1">MAX(_xlfn._xlws.FILTER(CT62:DG62,CT62:DG62&lt;BP62))</f>
        <v>9.8312902051219779E-3</v>
      </c>
      <c r="DJ62" s="19" cm="1">
        <f t="array" aca="1" ref="DJ62" ca="1">MIN(_xlfn._xlws.FILTER(CT62:DG62,CT62:DG62&gt;BP62))</f>
        <v>1.9084269221707369E-2</v>
      </c>
      <c r="DK62" s="2" cm="1">
        <f t="array" aca="1" ref="DK62" ca="1">_FV(EH62,"Fechamento anterior",TRUE)</f>
        <v>25.13</v>
      </c>
      <c r="DL62" s="36">
        <f ca="1">(BJ62-DM62)/(DN62-DM62)</f>
        <v>0.74373903848138523</v>
      </c>
      <c r="DM62" s="18">
        <f t="shared" ca="1" si="87"/>
        <v>25.377060322854714</v>
      </c>
      <c r="DN62" s="18">
        <f t="shared" ca="1" si="88"/>
        <v>25.609587685541506</v>
      </c>
      <c r="DO62" s="9"/>
      <c r="DP62" s="9"/>
      <c r="DQ62" s="94">
        <v>4.2770133092713773E-3</v>
      </c>
      <c r="DR62" s="94">
        <v>8.1766430912541023E-3</v>
      </c>
      <c r="DS62" s="94">
        <v>4.8787427537242811E-3</v>
      </c>
      <c r="DT62" s="94">
        <f t="shared" ca="1" si="12"/>
        <v>9.2529790165853908E-3</v>
      </c>
      <c r="DU62" s="87">
        <f ca="1">(BJ62-CF62)/(CF62-CE62)</f>
        <v>1.0414407612413596</v>
      </c>
      <c r="DV62" s="46"/>
      <c r="DW62" s="43">
        <f>_xlfn.STDEV.P(BF62:BI62)</f>
        <v>0.29046299247924867</v>
      </c>
      <c r="DX62" s="76">
        <f ca="1">BO62-$DT$2</f>
        <v>0.30589999999999984</v>
      </c>
      <c r="DY62" s="76">
        <f ca="1">BO62-BP62*100</f>
        <v>-0.36829999999999985</v>
      </c>
      <c r="DZ62" s="101"/>
      <c r="EA62" s="100">
        <v>-3.5848000000000004</v>
      </c>
      <c r="EB62" s="107">
        <v>4.5145999999999997</v>
      </c>
      <c r="EC62" s="107">
        <v>0.38030000000000008</v>
      </c>
      <c r="ED62" s="98">
        <f t="shared" ca="1" si="13"/>
        <v>0.67419999999999969</v>
      </c>
      <c r="EE62" s="66"/>
      <c r="EF62" s="66"/>
      <c r="EH62" s="2" t="e" vm="62">
        <v>#VALUE!</v>
      </c>
      <c r="EJ62" s="10" cm="1">
        <f t="array" aca="1" ref="EJ62" ca="1">_FV(EH62,"Ações em circulação",TRUE)</f>
        <v>81836380</v>
      </c>
      <c r="EK62" s="21">
        <f>VLOOKUP(BK62,Fundamentus!A:U,5,FALSE)</f>
        <v>0.95</v>
      </c>
      <c r="EL62" s="2">
        <f ca="1">(BJ62*EJ62)/EK62</f>
        <v>2200967904.2105265</v>
      </c>
      <c r="EM62" s="20">
        <v>303286744.14625263</v>
      </c>
      <c r="EN62" s="20">
        <f t="shared" ca="1" si="14"/>
        <v>308355603.37989473</v>
      </c>
      <c r="EP62" s="19">
        <f t="shared" ca="1" si="15"/>
        <v>1.6713091922005541E-2</v>
      </c>
      <c r="EQ62" s="40" t="str">
        <f>IF(VLOOKUP(BK62,Fundamentus!A:U,3,FALSE)&lt;15,"Bom",IF(VLOOKUP(BK62,Fundamentus!A:U,3,FALSE)&gt;15,"Ruim","n/a"))</f>
        <v>Bom</v>
      </c>
      <c r="ER62" s="36" t="str">
        <f>IF(VLOOKUP(BK62,Fundamentus!A:U,4,FALSE)&lt;1,"Baixo",IF(VLOOKUP(BK62,Fundamentus!A:U,4,FALSE)&lt;1.5,"Moderado",IF(VLOOKUP(BK62,Fundamentus!A:U,4,FALSE)&gt;1.5,"Alto","n/a")))</f>
        <v>Moderado</v>
      </c>
      <c r="ES62" s="20" t="str">
        <f>IF(VLOOKUP(BK62,Fundamentus!A:U,8,FALSE)&lt;0,"Risco elevado",IF(VLOOKUP(BK62,Fundamentus!A:U,8,FALSE)&lt;1,"Saudável",IF(VLOOKUP(BK62,Fundamentus!A:U,8,FALSE)&lt;3,"Estável",IF(VLOOKUP(BK62,Fundamentus!A:U,8,FALSE)&gt;3,"Alerta","n/a"))))</f>
        <v>Estável</v>
      </c>
      <c r="ET62" s="36" t="str">
        <f t="shared" si="16"/>
        <v>Ruim</v>
      </c>
      <c r="EU62" s="20" t="str">
        <f>IF(VLOOKUP(BK62,Fundamentus!A:U,12,FALSE)&lt;2,"Subvalorizada",IF(VLOOKUP(BK62,Fundamentus!A:U,12,FALSE)&lt;6,"Muita barata",IF(VLOOKUP(BK62,Fundamentus!A:U,12,FALSE)&lt;6,"Barata",IF(VLOOKUP(BK62,Fundamentus!A:U,12,FALSE)&lt;8,"Atrativa",IF(VLOOKUP(BK62,Fundamentus!A:U,12,FALSE)&gt;8,"Supervalorizada","n/a")))))</f>
        <v>Muita barata</v>
      </c>
      <c r="EW62" s="20" t="str">
        <f>IF(VLOOKUP(BK62,Fundamentus!A:U,17,FALSE)&lt;0.1,"Fraco retorno",IF(VLOOKUP(BK62,Fundamentus!A:U,17,FALSE)&gt;0.1,"Bom retorno","n/a"))</f>
        <v>Bom retorno</v>
      </c>
      <c r="EX62" s="20" t="str">
        <f>IF(VLOOKUP(BK62,Fundamentus!A:U,16,FALSE)&lt;0.1,"Ineficiente",IF(VLOOKUP(BK62,Fundamentus!A:U,16,FALSE)&gt;0.1,"Eficiente","n/a"))</f>
        <v>Eficiente</v>
      </c>
      <c r="EY62" s="41" t="str">
        <f>IF(VLOOKUP(BK62,Fundamentus!A:U,16,FALSE)&lt;0.1,"Oper. Ineficiente",IF(VLOOKUP(BK62,Fundamentus!A:U,16,FALSE)&gt;0.1,"Oper.Eficiente","n/a"))</f>
        <v>Oper.Eficiente</v>
      </c>
      <c r="EZ62" s="42">
        <f>VLOOKUP(BK62,Fundamentus!A:U,14,FALSE)</f>
        <v>0.1401</v>
      </c>
      <c r="FA62" s="20" t="str">
        <f>IF(VLOOKUP(BK62,Fundamentus!A:U,21,FALSE)&lt;0,"Negativo",IF(VLOOKUP(BK62,Fundamentus!A:U,21,FALSE)&lt;0.05,"Fraco",IF(VLOOKUP(BK62,Fundamentus!A:U,21,FALSE)&lt;0.1,"Bom",IF(VLOOKUP(BK62,Fundamentus!A:U,21,FALSE)&gt;0.1,"Muito bom","n/a"))))</f>
        <v>Fraco</v>
      </c>
      <c r="FC62" s="37" t="str">
        <f>IF(VLOOKUP(BK62,Fundamentus!A:U,15,FALSE)&gt;1,"Bom",IF(VLOOKUP(BK62,Fundamentus!A:U,15,FALSE)&lt;1,"Ruim","n/a"))</f>
        <v>Bom</v>
      </c>
      <c r="FD62" s="20" t="str">
        <f>IF(VLOOKUP(BK62,Fundamentus!A:U,20,FALSE)&lt;0.5,"Baixa",IF(VLOOKUP(BK62,Fundamentus!A:U,20,FALSE)&lt;1,"Moderada",IF(VLOOKUP(BK62,Fundamentus!A:U,20,FALSE)&lt;2,"Alerta",IF(VLOOKUP(BK62,Fundamentus!A:U,20,FALSE)&gt;2,"Alta","n/a"))))</f>
        <v>Baixa</v>
      </c>
    </row>
    <row r="63" spans="1:160" s="2" customFormat="1" ht="11.25" hidden="1"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8">
        <v>1.98</v>
      </c>
      <c r="BC63" s="62">
        <v>2</v>
      </c>
      <c r="BD63" s="62">
        <v>1.98</v>
      </c>
      <c r="BE63" s="62">
        <v>1.96</v>
      </c>
      <c r="BF63" s="62">
        <v>2.0299999999999998</v>
      </c>
      <c r="BG63" s="81">
        <v>1.96</v>
      </c>
      <c r="BH63" s="62">
        <v>1.93</v>
      </c>
      <c r="BI63" s="62">
        <v>1.94</v>
      </c>
      <c r="BJ63" s="62" cm="1">
        <f t="array" aca="1" ref="BJ63" ca="1">_FV(EH63,"Preço")</f>
        <v>1.94</v>
      </c>
      <c r="BK63" s="83" t="s">
        <v>60</v>
      </c>
      <c r="BL63" s="44" cm="1">
        <f t="array" aca="1" ref="BL63" ca="1">_FV(EH63,"Média de volume",TRUE)</f>
        <v>8020</v>
      </c>
      <c r="BM63" s="44">
        <v>700</v>
      </c>
      <c r="BN63" s="44" cm="1">
        <f t="array" aca="1" ref="BN63" ca="1">_FV(EH63,"Volume")</f>
        <v>700</v>
      </c>
      <c r="BO63" s="32" cm="1">
        <f t="array" aca="1" ref="BO63" ca="1">_FV(EH63,"Beta")</f>
        <v>0.98950000000000005</v>
      </c>
      <c r="BP63" s="86" cm="1">
        <f t="array" aca="1" ref="BP63" ca="1">_FV(EH63,"Variação (%)",TRUE)</f>
        <v>5.1809999999999998E-3</v>
      </c>
      <c r="BQ63" s="48"/>
      <c r="BR63" s="48"/>
      <c r="BT63" s="20" cm="1">
        <f t="array" aca="1" ref="BT63" ca="1">_FV(EH63,"Baixo")</f>
        <v>1.93</v>
      </c>
      <c r="BU63" s="20" cm="1">
        <f t="array" aca="1" ref="BU63" ca="1">_FV(EH63,"Alto")</f>
        <v>1.96</v>
      </c>
      <c r="BV63" s="32"/>
      <c r="BW63" s="73" t="e">
        <f ca="1">SQRT(22.5*(BJ63/VLOOKUP(BK63,Fundamentus!A:U,3,FALSE))*(BJ63/VLOOKUP(BK63,Fundamentus!A:U,4,FALSE)))</f>
        <v>#NUM!</v>
      </c>
      <c r="BY63" s="72">
        <f t="shared" ca="1" si="0"/>
        <v>0</v>
      </c>
      <c r="BZ63" s="8"/>
      <c r="CA63" s="71">
        <f t="shared" si="36"/>
        <v>1.75</v>
      </c>
      <c r="CB63" s="71">
        <f t="shared" si="1"/>
        <v>2.93</v>
      </c>
      <c r="CC63" s="71">
        <f t="shared" si="37"/>
        <v>2.3263934426229511</v>
      </c>
      <c r="CD63" s="17"/>
      <c r="CE63" s="43">
        <f t="shared" si="19"/>
        <v>1.8118975032409199</v>
      </c>
      <c r="CF63" s="18">
        <f>FORECAST("04/07/2025", BF63:BI63, $BF$5:$BI$5)</f>
        <v>1.8899999999999864</v>
      </c>
      <c r="CG63" s="43">
        <f t="shared" si="20"/>
        <v>1.9681024967590528</v>
      </c>
      <c r="CI63" s="17"/>
      <c r="CJ63" s="20">
        <f>CA63-2*(CB63-CM63)</f>
        <v>0.30333333333333279</v>
      </c>
      <c r="CK63" s="20">
        <f>CM63-(CB63-CA63)</f>
        <v>1.0266666666666664</v>
      </c>
      <c r="CL63" s="20">
        <f>2*CM63-CB63</f>
        <v>1.4833333333333329</v>
      </c>
      <c r="CM63" s="48">
        <f>(CB63+CA63+BI63)/3</f>
        <v>2.2066666666666666</v>
      </c>
      <c r="CN63" s="20">
        <f>2*CM63-CA63</f>
        <v>2.6633333333333331</v>
      </c>
      <c r="CO63" s="20">
        <f>CM63+(CB63-CA63)</f>
        <v>3.3866666666666667</v>
      </c>
      <c r="CP63" s="20">
        <f>CB63+2*(CM63-CA63)</f>
        <v>3.8433333333333333</v>
      </c>
      <c r="CQ63" s="2" cm="1">
        <f t="array" aca="1" ref="CQ63" ca="1">MAX(_xlfn._xlws.FILTER(CJ63:CP63,CJ63:CP63&lt;BJ63))</f>
        <v>1.4833333333333329</v>
      </c>
      <c r="CR63" s="2" cm="1">
        <f t="array" aca="1" ref="CR63" ca="1">MIN(_xlfn._xlws.FILTER($CJ63:$CP63,$CJ63:$CP63&gt;BJ63))</f>
        <v>2.2066666666666666</v>
      </c>
      <c r="CS63" s="19">
        <f t="shared" ca="1" si="72"/>
        <v>0.48764044943820251</v>
      </c>
      <c r="CT63" s="23">
        <f t="shared" ca="1" si="73"/>
        <v>-0.24382022471910125</v>
      </c>
      <c r="CU63" s="23">
        <f t="shared" ca="1" si="74"/>
        <v>-0.16254681647940084</v>
      </c>
      <c r="CV63" s="23">
        <f t="shared" ca="1" si="75"/>
        <v>-9.7528089887640501E-2</v>
      </c>
      <c r="CW63" s="23">
        <f t="shared" ca="1" si="76"/>
        <v>-5.4182272159800281E-2</v>
      </c>
      <c r="CX63" s="23">
        <f t="shared" ca="1" si="77"/>
        <v>-2.8684732319894265E-2</v>
      </c>
      <c r="CY63" s="23">
        <f t="shared" ca="1" si="78"/>
        <v>-1.4776983316309167E-2</v>
      </c>
      <c r="CZ63" s="23">
        <f t="shared" ca="1" si="79"/>
        <v>-7.5021607605877307E-3</v>
      </c>
      <c r="DA63" s="24">
        <f t="shared" ca="1" si="80"/>
        <v>7.5021607605877307E-3</v>
      </c>
      <c r="DB63" s="24">
        <f t="shared" ca="1" si="81"/>
        <v>1.4776983316309167E-2</v>
      </c>
      <c r="DC63" s="24">
        <f t="shared" ca="1" si="82"/>
        <v>2.8684732319894265E-2</v>
      </c>
      <c r="DD63" s="24">
        <f t="shared" ca="1" si="83"/>
        <v>5.4182272159800281E-2</v>
      </c>
      <c r="DE63" s="24">
        <f t="shared" ca="1" si="84"/>
        <v>9.7528089887640501E-2</v>
      </c>
      <c r="DF63" s="24">
        <f t="shared" ca="1" si="85"/>
        <v>0.16254681647940084</v>
      </c>
      <c r="DG63" s="24">
        <f t="shared" ca="1" si="86"/>
        <v>0.24382022471910125</v>
      </c>
      <c r="DI63" s="19" cm="1">
        <f t="array" aca="1" ref="DI63" ca="1">MAX(_xlfn._xlws.FILTER(CT63:DG63,CT63:DG63&lt;BP63))</f>
        <v>-7.5021607605877307E-3</v>
      </c>
      <c r="DJ63" s="19" cm="1">
        <f t="array" aca="1" ref="DJ63" ca="1">MIN(_xlfn._xlws.FILTER(CT63:DG63,CT63:DG63&gt;BP63))</f>
        <v>7.5021607605877307E-3</v>
      </c>
      <c r="DK63" s="2" cm="1">
        <f t="array" aca="1" ref="DK63" ca="1">_FV(EH63,"Fechamento anterior",TRUE)</f>
        <v>1.93</v>
      </c>
      <c r="DL63" s="36">
        <f ca="1">(BJ63-DM63)/(DN63-DM63)</f>
        <v>0.84532365511807261</v>
      </c>
      <c r="DM63" s="18">
        <f t="shared" ca="1" si="87"/>
        <v>1.9155208297320656</v>
      </c>
      <c r="DN63" s="18">
        <f t="shared" ca="1" si="88"/>
        <v>1.9444791702679343</v>
      </c>
      <c r="DO63" s="9"/>
      <c r="DP63" s="9"/>
      <c r="DQ63" s="94">
        <v>1.7031532436232177E-2</v>
      </c>
      <c r="DR63" s="94">
        <v>2.1213818860877705E-2</v>
      </c>
      <c r="DS63" s="94">
        <v>1.3656809150062135E-2</v>
      </c>
      <c r="DT63" s="94">
        <f t="shared" ca="1" si="12"/>
        <v>1.5004321521175461E-2</v>
      </c>
      <c r="DU63" s="87">
        <f ca="1">(BJ63-CF63)/(CF63-CE63)</f>
        <v>0.64018439966465468</v>
      </c>
      <c r="DV63" s="46"/>
      <c r="DW63" s="43">
        <f>_xlfn.STDEV.P(BF63:BI63)</f>
        <v>3.9051248379533214E-2</v>
      </c>
      <c r="DX63" s="76">
        <f ca="1">BO63-$DT$2</f>
        <v>-7.6000000000000512E-3</v>
      </c>
      <c r="DY63" s="76">
        <f ca="1">BO63-BP63*100</f>
        <v>0.47140000000000004</v>
      </c>
      <c r="DZ63" s="101"/>
      <c r="EA63" s="100">
        <v>1.8776000000000002</v>
      </c>
      <c r="EB63" s="107">
        <v>1.2418999999999998</v>
      </c>
      <c r="EC63" s="107">
        <v>0.69900000000000007</v>
      </c>
      <c r="ED63" s="98">
        <f t="shared" ca="1" si="13"/>
        <v>-0.47900000000000009</v>
      </c>
      <c r="EE63" s="66"/>
      <c r="EF63" s="66"/>
      <c r="EH63" s="2" t="e" vm="63">
        <v>#VALUE!</v>
      </c>
      <c r="EJ63" s="10" cm="1">
        <f t="array" aca="1" ref="EJ63" ca="1">_FV(EH63,"Ações em circulação",TRUE)</f>
        <v>11900000</v>
      </c>
      <c r="EK63" s="21">
        <f>VLOOKUP(BK63,Fundamentus!A:U,5,FALSE)</f>
        <v>0.76800000000000002</v>
      </c>
      <c r="EL63" s="2">
        <f ca="1">(BJ63*EJ63)/EK63</f>
        <v>30059895.833333332</v>
      </c>
      <c r="EM63" s="20">
        <v>1962911.1979166665</v>
      </c>
      <c r="EN63" s="20">
        <f t="shared" ca="1" si="14"/>
        <v>1962911.1979166665</v>
      </c>
      <c r="EP63" s="19">
        <f t="shared" ca="1" si="15"/>
        <v>0</v>
      </c>
      <c r="EQ63" s="40" t="str">
        <f>IF(VLOOKUP(BK63,Fundamentus!A:U,3,FALSE)&lt;15,"Bom",IF(VLOOKUP(BK63,Fundamentus!A:U,3,FALSE)&gt;15,"Ruim","n/a"))</f>
        <v>Bom</v>
      </c>
      <c r="ER63" s="36" t="str">
        <f>IF(VLOOKUP(BK63,Fundamentus!A:U,4,FALSE)&lt;1,"Baixo",IF(VLOOKUP(BK63,Fundamentus!A:U,4,FALSE)&lt;1.5,"Moderado",IF(VLOOKUP(BK63,Fundamentus!A:U,4,FALSE)&gt;1.5,"Alto","n/a")))</f>
        <v>Baixo</v>
      </c>
      <c r="ES63" s="20" t="str">
        <f>IF(VLOOKUP(BK63,Fundamentus!A:U,8,FALSE)&lt;0,"Risco elevado",IF(VLOOKUP(BK63,Fundamentus!A:U,8,FALSE)&lt;1,"Saudável",IF(VLOOKUP(BK63,Fundamentus!A:U,8,FALSE)&lt;3,"Estável",IF(VLOOKUP(BK63,Fundamentus!A:U,8,FALSE)&gt;3,"Alerta","n/a"))))</f>
        <v>Saudável</v>
      </c>
      <c r="ET63" s="36" t="str">
        <f t="shared" si="16"/>
        <v>Ruim</v>
      </c>
      <c r="EU63" s="20" t="str">
        <f>IF(VLOOKUP(BK63,Fundamentus!A:U,12,FALSE)&lt;2,"Subvalorizada",IF(VLOOKUP(BK63,Fundamentus!A:U,12,FALSE)&lt;6,"Muita barata",IF(VLOOKUP(BK63,Fundamentus!A:U,12,FALSE)&lt;6,"Barata",IF(VLOOKUP(BK63,Fundamentus!A:U,12,FALSE)&lt;8,"Atrativa",IF(VLOOKUP(BK63,Fundamentus!A:U,12,FALSE)&gt;8,"Supervalorizada","n/a")))))</f>
        <v>Supervalorizada</v>
      </c>
      <c r="EW63" s="20" t="str">
        <f>IF(VLOOKUP(BK63,Fundamentus!A:U,17,FALSE)&lt;0.1,"Fraco retorno",IF(VLOOKUP(BK63,Fundamentus!A:U,17,FALSE)&gt;0.1,"Bom retorno","n/a"))</f>
        <v>Fraco retorno</v>
      </c>
      <c r="EX63" s="20" t="str">
        <f>IF(VLOOKUP(BK63,Fundamentus!A:U,16,FALSE)&lt;0.1,"Ineficiente",IF(VLOOKUP(BK63,Fundamentus!A:U,16,FALSE)&gt;0.1,"Eficiente","n/a"))</f>
        <v>Ineficiente</v>
      </c>
      <c r="EY63" s="41" t="str">
        <f>IF(VLOOKUP(BK63,Fundamentus!A:U,16,FALSE)&lt;0.1,"Oper. Ineficiente",IF(VLOOKUP(BK63,Fundamentus!A:U,16,FALSE)&gt;0.1,"Oper.Eficiente","n/a"))</f>
        <v>Oper. Ineficiente</v>
      </c>
      <c r="EZ63" s="42">
        <f>VLOOKUP(BK63,Fundamentus!A:U,14,FALSE)</f>
        <v>6.5299999999999997E-2</v>
      </c>
      <c r="FA63" s="20" t="str">
        <f>IF(VLOOKUP(BK63,Fundamentus!A:U,21,FALSE)&lt;0,"Negativo",IF(VLOOKUP(BK63,Fundamentus!A:U,21,FALSE)&lt;0.05,"Fraco",IF(VLOOKUP(BK63,Fundamentus!A:U,21,FALSE)&lt;0.1,"Bom",IF(VLOOKUP(BK63,Fundamentus!A:U,21,FALSE)&gt;0.1,"Muito bom","n/a"))))</f>
        <v>Negativo</v>
      </c>
      <c r="FC63" s="37" t="str">
        <f>IF(VLOOKUP(BK63,Fundamentus!A:U,15,FALSE)&gt;1,"Bom",IF(VLOOKUP(BK63,Fundamentus!A:U,15,FALSE)&lt;1,"Ruim","n/a"))</f>
        <v>Bom</v>
      </c>
      <c r="FD63" s="20" t="str">
        <f>IF(VLOOKUP(BK63,Fundamentus!A:U,20,FALSE)&lt;0.5,"Baixa",IF(VLOOKUP(BK63,Fundamentus!A:U,20,FALSE)&lt;1,"Moderada",IF(VLOOKUP(BK63,Fundamentus!A:U,20,FALSE)&lt;2,"Alerta",IF(VLOOKUP(BK63,Fundamentus!A:U,20,FALSE)&gt;2,"Alta","n/a"))))</f>
        <v>Baixa</v>
      </c>
    </row>
    <row r="64" spans="1:160" s="2" customFormat="1" ht="11.25" hidden="1"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8">
        <v>19.66</v>
      </c>
      <c r="BC64" s="62">
        <v>19.27</v>
      </c>
      <c r="BD64" s="62">
        <v>18.2</v>
      </c>
      <c r="BE64" s="62">
        <v>18.899999999999999</v>
      </c>
      <c r="BF64" s="62">
        <v>19.649999999999999</v>
      </c>
      <c r="BG64" s="81">
        <v>20.78</v>
      </c>
      <c r="BH64" s="62">
        <v>20.32</v>
      </c>
      <c r="BI64" s="62">
        <v>17.2</v>
      </c>
      <c r="BJ64" s="62" cm="1">
        <f t="array" aca="1" ref="BJ64" ca="1">_FV(EH64,"Preço")</f>
        <v>17.18</v>
      </c>
      <c r="BK64" s="83" t="s">
        <v>61</v>
      </c>
      <c r="BL64" s="44" cm="1">
        <f t="array" aca="1" ref="BL64" ca="1">_FV(EH64,"Média de volume",TRUE)</f>
        <v>10083200</v>
      </c>
      <c r="BM64" s="44">
        <v>7663200</v>
      </c>
      <c r="BN64" s="44" cm="1">
        <f t="array" aca="1" ref="BN64" ca="1">_FV(EH64,"Volume")</f>
        <v>4014000</v>
      </c>
      <c r="BO64" s="32" cm="1">
        <f t="array" aca="1" ref="BO64" ca="1">_FV(EH64,"Beta")</f>
        <v>1.2877000000000001</v>
      </c>
      <c r="BP64" s="86" cm="1">
        <f t="array" aca="1" ref="BP64" ca="1">_FV(EH64,"Variação (%)",TRUE)</f>
        <v>-1.163E-3</v>
      </c>
      <c r="BQ64" s="48"/>
      <c r="BR64" s="48"/>
      <c r="BT64" s="20" cm="1">
        <f t="array" aca="1" ref="BT64" ca="1">_FV(EH64,"Baixo")</f>
        <v>16.87</v>
      </c>
      <c r="BU64" s="20" cm="1">
        <f t="array" aca="1" ref="BU64" ca="1">_FV(EH64,"Alto")</f>
        <v>17.260000000000002</v>
      </c>
      <c r="BV64" s="32"/>
      <c r="BW64" s="73">
        <f ca="1">SQRT(22.5*(BJ64/VLOOKUP(BK64,Fundamentus!A:U,3,FALSE))*(BJ64/VLOOKUP(BK64,Fundamentus!A:U,4,FALSE)))</f>
        <v>11.143071431380475</v>
      </c>
      <c r="BY64" s="72">
        <f t="shared" ca="1" si="0"/>
        <v>-1.1627906976743939E-3</v>
      </c>
      <c r="BZ64" s="8"/>
      <c r="CA64" s="71">
        <f t="shared" si="36"/>
        <v>16.18</v>
      </c>
      <c r="CB64" s="71">
        <f t="shared" si="1"/>
        <v>33.25</v>
      </c>
      <c r="CC64" s="71">
        <f t="shared" si="37"/>
        <v>22.050655737704918</v>
      </c>
      <c r="CD64" s="17"/>
      <c r="CE64" s="43">
        <f t="shared" si="19"/>
        <v>14.774080769019893</v>
      </c>
      <c r="CF64" s="18">
        <f>FORECAST("04/07/2025", BF64:BI64, $BF$5:$BI$5)</f>
        <v>17.535000000000764</v>
      </c>
      <c r="CG64" s="43">
        <f t="shared" si="20"/>
        <v>20.295919230981635</v>
      </c>
      <c r="CI64" s="17"/>
      <c r="CJ64" s="20">
        <f>CA64-2*(CB64-CM64)</f>
        <v>-5.9000000000000057</v>
      </c>
      <c r="CK64" s="20">
        <f>CM64-(CB64-CA64)</f>
        <v>5.139999999999997</v>
      </c>
      <c r="CL64" s="20">
        <f>2*CM64-CB64</f>
        <v>11.169999999999995</v>
      </c>
      <c r="CM64" s="48">
        <f>(CB64+CA64+BI64)/3</f>
        <v>22.209999999999997</v>
      </c>
      <c r="CN64" s="20">
        <f>2*CM64-CA64</f>
        <v>28.239999999999995</v>
      </c>
      <c r="CO64" s="20">
        <f>CM64+(CB64-CA64)</f>
        <v>39.28</v>
      </c>
      <c r="CP64" s="20">
        <f>CB64+2*(CM64-CA64)</f>
        <v>45.309999999999995</v>
      </c>
      <c r="CQ64" s="2" cm="1">
        <f t="array" aca="1" ref="CQ64" ca="1">MAX(_xlfn._xlws.FILTER(CJ64:CP64,CJ64:CP64&lt;BJ64))</f>
        <v>11.169999999999995</v>
      </c>
      <c r="CR64" s="2" cm="1">
        <f t="array" aca="1" ref="CR64" ca="1">MIN(_xlfn._xlws.FILTER($CJ64:$CP64,$CJ64:$CP64&gt;BJ64))</f>
        <v>22.209999999999997</v>
      </c>
      <c r="CS64" s="19">
        <f t="shared" ca="1" si="72"/>
        <v>0.98836168307967842</v>
      </c>
      <c r="CT64" s="23">
        <f t="shared" ca="1" si="73"/>
        <v>-0.49418084153983921</v>
      </c>
      <c r="CU64" s="23">
        <f t="shared" ca="1" si="74"/>
        <v>-0.32945389435989281</v>
      </c>
      <c r="CV64" s="23">
        <f t="shared" ca="1" si="75"/>
        <v>-0.1976723366159357</v>
      </c>
      <c r="CW64" s="23">
        <f t="shared" ca="1" si="76"/>
        <v>-0.10981796478663093</v>
      </c>
      <c r="CX64" s="23">
        <f t="shared" ca="1" si="77"/>
        <v>-5.8138922534098733E-2</v>
      </c>
      <c r="CY64" s="23">
        <f t="shared" ca="1" si="78"/>
        <v>-2.9950354032717529E-2</v>
      </c>
      <c r="CZ64" s="23">
        <f t="shared" ca="1" si="79"/>
        <v>-1.5205564355071977E-2</v>
      </c>
      <c r="DA64" s="24">
        <f t="shared" ca="1" si="80"/>
        <v>1.5205564355071977E-2</v>
      </c>
      <c r="DB64" s="24">
        <f t="shared" ca="1" si="81"/>
        <v>2.9950354032717529E-2</v>
      </c>
      <c r="DC64" s="24">
        <f t="shared" ca="1" si="82"/>
        <v>5.8138922534098733E-2</v>
      </c>
      <c r="DD64" s="24">
        <f t="shared" ca="1" si="83"/>
        <v>0.10981796478663093</v>
      </c>
      <c r="DE64" s="24">
        <f t="shared" ca="1" si="84"/>
        <v>0.1976723366159357</v>
      </c>
      <c r="DF64" s="24">
        <f t="shared" ca="1" si="85"/>
        <v>0.32945389435989281</v>
      </c>
      <c r="DG64" s="24">
        <f t="shared" ca="1" si="86"/>
        <v>0.49418084153983921</v>
      </c>
      <c r="DI64" s="19" cm="1">
        <f t="array" aca="1" ref="DI64" ca="1">MAX(_xlfn._xlws.FILTER(CT64:DG64,CT64:DG64&lt;BP64))</f>
        <v>-1.5205564355071977E-2</v>
      </c>
      <c r="DJ64" s="19" cm="1">
        <f t="array" aca="1" ref="DJ64" ca="1">MIN(_xlfn._xlws.FILTER(CT64:DG64,CT64:DG64&gt;BP64))</f>
        <v>1.5205564355071977E-2</v>
      </c>
      <c r="DK64" s="2" cm="1">
        <f t="array" aca="1" ref="DK64" ca="1">_FV(EH64,"Fechamento anterior",TRUE)</f>
        <v>17.2</v>
      </c>
      <c r="DL64" s="36">
        <f ca="1">(BJ64-DM64)/(DN64-DM64)</f>
        <v>0.46176430316818434</v>
      </c>
      <c r="DM64" s="18">
        <f t="shared" ca="1" si="87"/>
        <v>16.93846429309276</v>
      </c>
      <c r="DN64" s="18">
        <f t="shared" ca="1" si="88"/>
        <v>17.461535706907238</v>
      </c>
      <c r="DO64" s="9"/>
      <c r="DP64" s="9"/>
      <c r="DQ64" s="94">
        <v>1.618413362931952E-2</v>
      </c>
      <c r="DR64" s="94">
        <v>3.3379775610471514E-2</v>
      </c>
      <c r="DS64" s="94">
        <v>1.0835750594786732E-2</v>
      </c>
      <c r="DT64" s="94">
        <f t="shared" ca="1" si="12"/>
        <v>3.0411128710143953E-2</v>
      </c>
      <c r="DU64" s="87">
        <f ca="1">(BJ64-CF64)/(CF64-CE64)</f>
        <v>-0.12858036411106583</v>
      </c>
      <c r="DV64" s="46"/>
      <c r="DW64" s="43">
        <f>_xlfn.STDEV.P(BF64:BI64)</f>
        <v>1.3804596154904356</v>
      </c>
      <c r="DX64" s="76">
        <f ca="1">BO64-$DT$2</f>
        <v>0.29059999999999997</v>
      </c>
      <c r="DY64" s="76">
        <f ca="1">BO64-BP64*100</f>
        <v>1.4040000000000001</v>
      </c>
      <c r="DZ64" s="101"/>
      <c r="EA64" s="100">
        <v>-0.13650000000000007</v>
      </c>
      <c r="EB64" s="107">
        <v>-6.9399999999999906E-2</v>
      </c>
      <c r="EC64" s="107">
        <v>-3.4064999999999994</v>
      </c>
      <c r="ED64" s="98">
        <f t="shared" ca="1" si="13"/>
        <v>-1.1134000000000002</v>
      </c>
      <c r="EE64" s="66"/>
      <c r="EF64" s="66"/>
      <c r="EH64" s="2" t="e" vm="64">
        <v>#VALUE!</v>
      </c>
      <c r="EJ64" s="10" cm="1">
        <f t="array" aca="1" ref="EJ64" ca="1">_FV(EH64,"Ações em circulação",TRUE)</f>
        <v>464180800</v>
      </c>
      <c r="EK64" s="21">
        <f>VLOOKUP(BK64,Fundamentus!A:U,5,FALSE)</f>
        <v>1.0049999999999999</v>
      </c>
      <c r="EL64" s="2">
        <f ca="1">(BJ64*EJ64)/EK64</f>
        <v>7934951387.0646772</v>
      </c>
      <c r="EM64" s="20">
        <v>123929345.52835822</v>
      </c>
      <c r="EN64" s="20">
        <f t="shared" ca="1" si="14"/>
        <v>123785241.63820896</v>
      </c>
      <c r="EP64" s="19">
        <f t="shared" ca="1" si="15"/>
        <v>-1.1627906976745539E-3</v>
      </c>
      <c r="EQ64" s="40" t="str">
        <f>IF(VLOOKUP(BK64,Fundamentus!A:U,3,FALSE)&lt;15,"Bom",IF(VLOOKUP(BK64,Fundamentus!A:U,3,FALSE)&gt;15,"Ruim","n/a"))</f>
        <v>Ruim</v>
      </c>
      <c r="ER64" s="36" t="str">
        <f>IF(VLOOKUP(BK64,Fundamentus!A:U,4,FALSE)&lt;1,"Baixo",IF(VLOOKUP(BK64,Fundamentus!A:U,4,FALSE)&lt;1.5,"Moderado",IF(VLOOKUP(BK64,Fundamentus!A:U,4,FALSE)&gt;1.5,"Alto","n/a")))</f>
        <v>Baixo</v>
      </c>
      <c r="ES64" s="20" t="str">
        <f>IF(VLOOKUP(BK64,Fundamentus!A:U,8,FALSE)&lt;0,"Risco elevado",IF(VLOOKUP(BK64,Fundamentus!A:U,8,FALSE)&lt;1,"Saudável",IF(VLOOKUP(BK64,Fundamentus!A:U,8,FALSE)&lt;3,"Estável",IF(VLOOKUP(BK64,Fundamentus!A:U,8,FALSE)&gt;3,"Alerta","n/a"))))</f>
        <v>Alerta</v>
      </c>
      <c r="ET64" s="36" t="str">
        <f t="shared" si="16"/>
        <v>Bom</v>
      </c>
      <c r="EU64" s="20" t="str">
        <f>IF(VLOOKUP(BK64,Fundamentus!A:U,12,FALSE)&lt;2,"Subvalorizada",IF(VLOOKUP(BK64,Fundamentus!A:U,12,FALSE)&lt;6,"Muita barata",IF(VLOOKUP(BK64,Fundamentus!A:U,12,FALSE)&lt;6,"Barata",IF(VLOOKUP(BK64,Fundamentus!A:U,12,FALSE)&lt;8,"Atrativa",IF(VLOOKUP(BK64,Fundamentus!A:U,12,FALSE)&gt;8,"Supervalorizada","n/a")))))</f>
        <v>Atrativa</v>
      </c>
      <c r="EW64" s="20" t="str">
        <f>IF(VLOOKUP(BK64,Fundamentus!A:U,17,FALSE)&lt;0.1,"Fraco retorno",IF(VLOOKUP(BK64,Fundamentus!A:U,17,FALSE)&gt;0.1,"Bom retorno","n/a"))</f>
        <v>Fraco retorno</v>
      </c>
      <c r="EX64" s="20" t="str">
        <f>IF(VLOOKUP(BK64,Fundamentus!A:U,16,FALSE)&lt;0.1,"Ineficiente",IF(VLOOKUP(BK64,Fundamentus!A:U,16,FALSE)&gt;0.1,"Eficiente","n/a"))</f>
        <v>Ineficiente</v>
      </c>
      <c r="EY64" s="41" t="str">
        <f>IF(VLOOKUP(BK64,Fundamentus!A:U,16,FALSE)&lt;0.1,"Oper. Ineficiente",IF(VLOOKUP(BK64,Fundamentus!A:U,16,FALSE)&gt;0.1,"Oper.Eficiente","n/a"))</f>
        <v>Oper. Ineficiente</v>
      </c>
      <c r="EZ64" s="42">
        <f>VLOOKUP(BK64,Fundamentus!A:U,14,FALSE)</f>
        <v>1.5599999999999999E-2</v>
      </c>
      <c r="FA64" s="20" t="str">
        <f>IF(VLOOKUP(BK64,Fundamentus!A:U,21,FALSE)&lt;0,"Negativo",IF(VLOOKUP(BK64,Fundamentus!A:U,21,FALSE)&lt;0.05,"Fraco",IF(VLOOKUP(BK64,Fundamentus!A:U,21,FALSE)&lt;0.1,"Bom",IF(VLOOKUP(BK64,Fundamentus!A:U,21,FALSE)&gt;0.1,"Muito bom","n/a"))))</f>
        <v>Muito bom</v>
      </c>
      <c r="FC64" s="37" t="str">
        <f>IF(VLOOKUP(BK64,Fundamentus!A:U,15,FALSE)&gt;1,"Bom",IF(VLOOKUP(BK64,Fundamentus!A:U,15,FALSE)&lt;1,"Ruim","n/a"))</f>
        <v>Bom</v>
      </c>
      <c r="FD64" s="20" t="str">
        <f>IF(VLOOKUP(BK64,Fundamentus!A:U,20,FALSE)&lt;0.5,"Baixa",IF(VLOOKUP(BK64,Fundamentus!A:U,20,FALSE)&lt;1,"Moderada",IF(VLOOKUP(BK64,Fundamentus!A:U,20,FALSE)&lt;2,"Alerta",IF(VLOOKUP(BK64,Fundamentus!A:U,20,FALSE)&gt;2,"Alta","n/a"))))</f>
        <v>Alerta</v>
      </c>
    </row>
    <row r="65" spans="1:161" s="2" customFormat="1" ht="11.25" hidden="1"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8">
        <v>10.49</v>
      </c>
      <c r="BC65" s="62">
        <v>10.6</v>
      </c>
      <c r="BD65" s="62">
        <v>10.49</v>
      </c>
      <c r="BE65" s="62">
        <v>10.66</v>
      </c>
      <c r="BF65" s="62">
        <v>10.64</v>
      </c>
      <c r="BG65" s="81">
        <v>10.66</v>
      </c>
      <c r="BH65" s="62">
        <v>10.4</v>
      </c>
      <c r="BI65" s="62">
        <v>10.66</v>
      </c>
      <c r="BJ65" s="62" cm="1">
        <f t="array" aca="1" ref="BJ65" ca="1">_FV(EH65,"Preço")</f>
        <v>10.8</v>
      </c>
      <c r="BK65" s="83" t="s">
        <v>159</v>
      </c>
      <c r="BL65" s="44" cm="1">
        <f t="array" aca="1" ref="BL65" ca="1">_FV(EH65,"Média de volume",TRUE)</f>
        <v>896390</v>
      </c>
      <c r="BM65" s="44">
        <v>1403900</v>
      </c>
      <c r="BN65" s="44" cm="1">
        <f t="array" aca="1" ref="BN65" ca="1">_FV(EH65,"Volume")</f>
        <v>190900</v>
      </c>
      <c r="BO65" s="32" cm="1">
        <f t="array" aca="1" ref="BO65" ca="1">_FV(EH65,"Beta")</f>
        <v>1.679</v>
      </c>
      <c r="BP65" s="86" cm="1">
        <f t="array" aca="1" ref="BP65" ca="1">_FV(EH65,"Variação (%)",TRUE)</f>
        <v>1.3132999999999999E-2</v>
      </c>
      <c r="BQ65" s="48"/>
      <c r="BR65" s="48"/>
      <c r="BT65" s="20" cm="1">
        <f t="array" aca="1" ref="BT65" ca="1">_FV(EH65,"Baixo")</f>
        <v>10.61</v>
      </c>
      <c r="BU65" s="20" cm="1">
        <f t="array" aca="1" ref="BU65" ca="1">_FV(EH65,"Alto")</f>
        <v>10.84</v>
      </c>
      <c r="BV65" s="32"/>
      <c r="BW65" s="73">
        <f ca="1">SQRT(22.5*(BJ65/VLOOKUP(BK65,Fundamentus!A:U,3,FALSE))*(BJ65/VLOOKUP(BK65,Fundamentus!A:U,4,FALSE)))</f>
        <v>13.353906176700706</v>
      </c>
      <c r="BY65" s="72">
        <f t="shared" ca="1" si="0"/>
        <v>1.3133208255159528E-2</v>
      </c>
      <c r="BZ65" s="8"/>
      <c r="CA65" s="71">
        <f t="shared" si="36"/>
        <v>8.17</v>
      </c>
      <c r="CB65" s="71">
        <f t="shared" si="1"/>
        <v>13.86</v>
      </c>
      <c r="CC65" s="71">
        <f t="shared" si="37"/>
        <v>10.336393442622949</v>
      </c>
      <c r="CD65" s="17"/>
      <c r="CE65" s="43">
        <f t="shared" si="19"/>
        <v>10.32000000000002</v>
      </c>
      <c r="CF65" s="18">
        <f>FORECAST("04/07/2025", BF65:BI65, $BF$5:$BI$5)</f>
        <v>10.54000000000002</v>
      </c>
      <c r="CG65" s="43">
        <f t="shared" si="20"/>
        <v>10.760000000000021</v>
      </c>
      <c r="CI65" s="17"/>
      <c r="CJ65" s="20">
        <f>CA65-2*(CB65-CM65)</f>
        <v>2.2433333333333341</v>
      </c>
      <c r="CK65" s="20">
        <f>CM65-(CB65-CA65)</f>
        <v>5.206666666666667</v>
      </c>
      <c r="CL65" s="20">
        <f>2*CM65-CB65</f>
        <v>7.9333333333333336</v>
      </c>
      <c r="CM65" s="48">
        <f>(CB65+CA65+BI65)/3</f>
        <v>10.896666666666667</v>
      </c>
      <c r="CN65" s="20">
        <f>2*CM65-CA65</f>
        <v>13.623333333333333</v>
      </c>
      <c r="CO65" s="20">
        <f>CM65+(CB65-CA65)</f>
        <v>16.586666666666666</v>
      </c>
      <c r="CP65" s="20">
        <f>CB65+2*(CM65-CA65)</f>
        <v>19.313333333333333</v>
      </c>
      <c r="CQ65" s="2" cm="1">
        <f t="array" aca="1" ref="CQ65" ca="1">MAX(_xlfn._xlws.FILTER(CJ65:CP65,CJ65:CP65&lt;BJ65))</f>
        <v>7.9333333333333336</v>
      </c>
      <c r="CR65" s="2" cm="1">
        <f t="array" aca="1" ref="CR65" ca="1">MIN(_xlfn._xlws.FILTER($CJ65:$CP65,$CJ65:$CP65&gt;BJ65))</f>
        <v>10.896666666666667</v>
      </c>
      <c r="CS65" s="19">
        <f t="shared" ca="1" si="72"/>
        <v>0.37352941176470589</v>
      </c>
      <c r="CT65" s="23">
        <f t="shared" ca="1" si="73"/>
        <v>-0.18676470588235294</v>
      </c>
      <c r="CU65" s="23">
        <f t="shared" ca="1" si="74"/>
        <v>-0.12450980392156863</v>
      </c>
      <c r="CV65" s="23">
        <f t="shared" ca="1" si="75"/>
        <v>-7.4705882352941178E-2</v>
      </c>
      <c r="CW65" s="23">
        <f t="shared" ca="1" si="76"/>
        <v>-4.1503267973856207E-2</v>
      </c>
      <c r="CX65" s="23">
        <f t="shared" ca="1" si="77"/>
        <v>-2.1972318339100346E-2</v>
      </c>
      <c r="CY65" s="23">
        <f t="shared" ca="1" si="78"/>
        <v>-1.1319073083778967E-2</v>
      </c>
      <c r="CZ65" s="23">
        <f t="shared" ca="1" si="79"/>
        <v>-5.7466063348416288E-3</v>
      </c>
      <c r="DA65" s="24">
        <f t="shared" ca="1" si="80"/>
        <v>5.7466063348416288E-3</v>
      </c>
      <c r="DB65" s="24">
        <f t="shared" ca="1" si="81"/>
        <v>1.1319073083778967E-2</v>
      </c>
      <c r="DC65" s="24">
        <f t="shared" ca="1" si="82"/>
        <v>2.1972318339100346E-2</v>
      </c>
      <c r="DD65" s="24">
        <f t="shared" ca="1" si="83"/>
        <v>4.1503267973856207E-2</v>
      </c>
      <c r="DE65" s="24">
        <f t="shared" ca="1" si="84"/>
        <v>7.4705882352941178E-2</v>
      </c>
      <c r="DF65" s="24">
        <f t="shared" ca="1" si="85"/>
        <v>0.12450980392156863</v>
      </c>
      <c r="DG65" s="24">
        <f t="shared" ca="1" si="86"/>
        <v>0.18676470588235294</v>
      </c>
      <c r="DI65" s="19" cm="1">
        <f t="array" aca="1" ref="DI65" ca="1">MAX(_xlfn._xlws.FILTER(CT65:DG65,CT65:DG65&lt;BP65))</f>
        <v>1.1319073083778967E-2</v>
      </c>
      <c r="DJ65" s="19" cm="1">
        <f t="array" aca="1" ref="DJ65" ca="1">MIN(_xlfn._xlws.FILTER(CT65:DG65,CT65:DG65&gt;BP65))</f>
        <v>2.1972318339100346E-2</v>
      </c>
      <c r="DK65" s="2" cm="1">
        <f t="array" aca="1" ref="DK65" ca="1">_FV(EH65,"Fechamento anterior",TRUE)</f>
        <v>10.66</v>
      </c>
      <c r="DL65" s="36">
        <f ca="1">(BJ65-DM65)/(DN65-DM65)</f>
        <v>0.17028944025054968</v>
      </c>
      <c r="DM65" s="18">
        <f t="shared" ca="1" si="87"/>
        <v>10.780661319073085</v>
      </c>
      <c r="DN65" s="18">
        <f t="shared" ca="1" si="88"/>
        <v>10.89422491349481</v>
      </c>
      <c r="DO65" s="9"/>
      <c r="DP65" s="9"/>
      <c r="DQ65" s="94">
        <v>5.7972491085073888E-3</v>
      </c>
      <c r="DR65" s="94">
        <v>2.8107874465490364E-3</v>
      </c>
      <c r="DS65" s="94">
        <v>5.5724667489373382E-3</v>
      </c>
      <c r="DT65" s="94">
        <f t="shared" ca="1" si="12"/>
        <v>1.0653245255321379E-2</v>
      </c>
      <c r="DU65" s="87">
        <f ca="1">(BJ65-CF65)/(CF65-CE65)</f>
        <v>1.1818181818180886</v>
      </c>
      <c r="DV65" s="46"/>
      <c r="DW65" s="43">
        <f>_xlfn.STDEV.P(BF65:BI65)</f>
        <v>0.10999999999999997</v>
      </c>
      <c r="DX65" s="76">
        <f ca="1">BO65-$DT$2</f>
        <v>0.68189999999999995</v>
      </c>
      <c r="DY65" s="76">
        <f ca="1">BO65-BP65*100</f>
        <v>0.36570000000000014</v>
      </c>
      <c r="DZ65" s="101"/>
      <c r="EA65" s="100">
        <v>-0.17300000000000004</v>
      </c>
      <c r="EB65" s="107">
        <v>-0.17989999999999995</v>
      </c>
      <c r="EC65" s="107">
        <v>1.3194000000000001</v>
      </c>
      <c r="ED65" s="98">
        <f t="shared" ca="1" si="13"/>
        <v>0.31619999999999981</v>
      </c>
      <c r="EE65" s="66"/>
      <c r="EF65" s="66"/>
      <c r="EH65" s="2" t="e" vm="65">
        <v>#VALUE!</v>
      </c>
      <c r="EJ65" s="10" cm="1">
        <f t="array" aca="1" ref="EJ65" ca="1">_FV(EH65,"Ações em circulação",TRUE)</f>
        <v>234178200</v>
      </c>
      <c r="EK65" s="21">
        <f>VLOOKUP(BK65,Fundamentus!A:U,5,FALSE)</f>
        <v>1.5269999999999999</v>
      </c>
      <c r="EL65" s="2">
        <f ca="1">(BJ65*EJ65)/EK65</f>
        <v>1656270176.8172889</v>
      </c>
      <c r="EM65" s="20">
        <v>285436081.3721022</v>
      </c>
      <c r="EN65" s="20">
        <f t="shared" ca="1" si="14"/>
        <v>289184772.87229866</v>
      </c>
      <c r="EP65" s="19">
        <f t="shared" ca="1" si="15"/>
        <v>1.3133208255159401E-2</v>
      </c>
      <c r="EQ65" s="40" t="str">
        <f>IF(VLOOKUP(BK65,Fundamentus!A:U,3,FALSE)&lt;15,"Bom",IF(VLOOKUP(BK65,Fundamentus!A:U,3,FALSE)&gt;15,"Ruim","n/a"))</f>
        <v>Bom</v>
      </c>
      <c r="ER65" s="36" t="str">
        <f>IF(VLOOKUP(BK65,Fundamentus!A:U,4,FALSE)&lt;1,"Baixo",IF(VLOOKUP(BK65,Fundamentus!A:U,4,FALSE)&lt;1.5,"Moderado",IF(VLOOKUP(BK65,Fundamentus!A:U,4,FALSE)&gt;1.5,"Alto","n/a")))</f>
        <v>Alto</v>
      </c>
      <c r="ES65" s="20" t="str">
        <f>IF(VLOOKUP(BK65,Fundamentus!A:U,8,FALSE)&lt;0,"Risco elevado",IF(VLOOKUP(BK65,Fundamentus!A:U,8,FALSE)&lt;1,"Saudável",IF(VLOOKUP(BK65,Fundamentus!A:U,8,FALSE)&lt;3,"Estável",IF(VLOOKUP(BK65,Fundamentus!A:U,8,FALSE)&gt;3,"Alerta","n/a"))))</f>
        <v>Alerta</v>
      </c>
      <c r="ET65" s="36" t="str">
        <f t="shared" si="16"/>
        <v>Bom</v>
      </c>
      <c r="EU65" s="20" t="str">
        <f>IF(VLOOKUP(BK65,Fundamentus!A:U,12,FALSE)&lt;2,"Subvalorizada",IF(VLOOKUP(BK65,Fundamentus!A:U,12,FALSE)&lt;6,"Muita barata",IF(VLOOKUP(BK65,Fundamentus!A:U,12,FALSE)&lt;6,"Barata",IF(VLOOKUP(BK65,Fundamentus!A:U,12,FALSE)&lt;8,"Atrativa",IF(VLOOKUP(BK65,Fundamentus!A:U,12,FALSE)&gt;8,"Supervalorizada","n/a")))))</f>
        <v>Muita barata</v>
      </c>
      <c r="EW65" s="20" t="str">
        <f>IF(VLOOKUP(BK65,Fundamentus!A:U,17,FALSE)&lt;0.1,"Fraco retorno",IF(VLOOKUP(BK65,Fundamentus!A:U,17,FALSE)&gt;0.1,"Bom retorno","n/a"))</f>
        <v>Bom retorno</v>
      </c>
      <c r="EX65" s="20" t="str">
        <f>IF(VLOOKUP(BK65,Fundamentus!A:U,16,FALSE)&lt;0.1,"Ineficiente",IF(VLOOKUP(BK65,Fundamentus!A:U,16,FALSE)&gt;0.1,"Eficiente","n/a"))</f>
        <v>Eficiente</v>
      </c>
      <c r="EY65" s="41" t="str">
        <f>IF(VLOOKUP(BK65,Fundamentus!A:U,16,FALSE)&lt;0.1,"Oper. Ineficiente",IF(VLOOKUP(BK65,Fundamentus!A:U,16,FALSE)&gt;0.1,"Oper.Eficiente","n/a"))</f>
        <v>Oper.Eficiente</v>
      </c>
      <c r="EZ65" s="42">
        <f>VLOOKUP(BK65,Fundamentus!A:U,14,FALSE)</f>
        <v>0.17460000000000001</v>
      </c>
      <c r="FA65" s="20" t="str">
        <f>IF(VLOOKUP(BK65,Fundamentus!A:U,21,FALSE)&lt;0,"Negativo",IF(VLOOKUP(BK65,Fundamentus!A:U,21,FALSE)&lt;0.05,"Fraco",IF(VLOOKUP(BK65,Fundamentus!A:U,21,FALSE)&lt;0.1,"Bom",IF(VLOOKUP(BK65,Fundamentus!A:U,21,FALSE)&gt;0.1,"Muito bom","n/a"))))</f>
        <v>Muito bom</v>
      </c>
      <c r="FC65" s="37" t="str">
        <f>IF(VLOOKUP(BK65,Fundamentus!A:U,15,FALSE)&gt;1,"Bom",IF(VLOOKUP(BK65,Fundamentus!A:U,15,FALSE)&lt;1,"Ruim","n/a"))</f>
        <v>Bom</v>
      </c>
      <c r="FD65" s="20" t="str">
        <f>IF(VLOOKUP(BK65,Fundamentus!A:U,20,FALSE)&lt;0.5,"Baixa",IF(VLOOKUP(BK65,Fundamentus!A:U,20,FALSE)&lt;1,"Moderada",IF(VLOOKUP(BK65,Fundamentus!A:U,20,FALSE)&lt;2,"Alerta",IF(VLOOKUP(BK65,Fundamentus!A:U,20,FALSE)&gt;2,"Alta","n/a"))))</f>
        <v>Alerta</v>
      </c>
    </row>
    <row r="66" spans="1:161" s="2" customFormat="1" ht="11.25" hidden="1"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8">
        <v>13.53</v>
      </c>
      <c r="BC66" s="62">
        <v>13.55</v>
      </c>
      <c r="BD66" s="62">
        <v>13.62</v>
      </c>
      <c r="BE66" s="62">
        <v>13.68</v>
      </c>
      <c r="BF66" s="62">
        <v>13.69</v>
      </c>
      <c r="BG66" s="81">
        <v>13.71</v>
      </c>
      <c r="BH66" s="62">
        <v>13.69</v>
      </c>
      <c r="BI66" s="62">
        <v>13.75</v>
      </c>
      <c r="BJ66" s="62" cm="1">
        <f t="array" aca="1" ref="BJ66" ca="1">_FV(EH66,"Preço")</f>
        <v>13.79</v>
      </c>
      <c r="BK66" s="83" t="s">
        <v>63</v>
      </c>
      <c r="BL66" s="44" cm="1">
        <f t="array" aca="1" ref="BL66" ca="1">_FV(EH66,"Média de volume",TRUE)</f>
        <v>4274760</v>
      </c>
      <c r="BM66" s="44">
        <v>1897300</v>
      </c>
      <c r="BN66" s="44" cm="1">
        <f t="array" aca="1" ref="BN66" ca="1">_FV(EH66,"Volume")</f>
        <v>2324600</v>
      </c>
      <c r="BO66" s="32" cm="1">
        <f t="array" aca="1" ref="BO66" ca="1">_FV(EH66,"Beta")</f>
        <v>1.2466999999999999</v>
      </c>
      <c r="BP66" s="86" cm="1">
        <f t="array" aca="1" ref="BP66" ca="1">_FV(EH66,"Variação (%)",TRUE)</f>
        <v>2.9090000000000001E-3</v>
      </c>
      <c r="BQ66" s="18">
        <v>13.7</v>
      </c>
      <c r="BR66" s="18"/>
      <c r="BT66" s="20" cm="1">
        <f t="array" aca="1" ref="BT66" ca="1">_FV(EH66,"Baixo")</f>
        <v>13.76</v>
      </c>
      <c r="BU66" s="20" cm="1">
        <f t="array" aca="1" ref="BU66" ca="1">_FV(EH66,"Alto")</f>
        <v>13.8</v>
      </c>
      <c r="BV66" s="32"/>
      <c r="BW66" s="73">
        <f ca="1">SQRT(22.5*(BJ66/VLOOKUP(BK66,Fundamentus!A:U,3,FALSE))*(BJ66/VLOOKUP(BK66,Fundamentus!A:U,4,FALSE)))</f>
        <v>3.83104826319867</v>
      </c>
      <c r="BY66" s="72">
        <f t="shared" ca="1" si="0"/>
        <v>2.9090909090908469E-3</v>
      </c>
      <c r="BZ66" s="8"/>
      <c r="CA66" s="71">
        <f t="shared" si="36"/>
        <v>11.56</v>
      </c>
      <c r="CB66" s="71">
        <f t="shared" si="1"/>
        <v>14.88</v>
      </c>
      <c r="CC66" s="71">
        <f t="shared" si="37"/>
        <v>13.327049180327867</v>
      </c>
      <c r="CD66" s="17"/>
      <c r="CE66" s="43">
        <f t="shared" si="19"/>
        <v>13.701010205144321</v>
      </c>
      <c r="CF66" s="18">
        <f>FORECAST("04/07/2025", BF66:BI66, $BF$5:$BI$5)</f>
        <v>13.749999999999986</v>
      </c>
      <c r="CG66" s="43">
        <f t="shared" si="20"/>
        <v>13.79898979485565</v>
      </c>
      <c r="CI66" s="17"/>
      <c r="CJ66" s="20">
        <f>CA66-2*(CB66-CM66)</f>
        <v>8.5933333333333319</v>
      </c>
      <c r="CK66" s="20">
        <f>CM66-(CB66-CA66)</f>
        <v>10.076666666666666</v>
      </c>
      <c r="CL66" s="20">
        <f>2*CM66-CB66</f>
        <v>11.913333333333332</v>
      </c>
      <c r="CM66" s="48">
        <f>(CB66+CA66+BI66)/3</f>
        <v>13.396666666666667</v>
      </c>
      <c r="CN66" s="20">
        <f>2*CM66-CA66</f>
        <v>15.233333333333333</v>
      </c>
      <c r="CO66" s="20">
        <f>CM66+(CB66-CA66)</f>
        <v>16.716666666666669</v>
      </c>
      <c r="CP66" s="20">
        <f>CB66+2*(CM66-CA66)</f>
        <v>18.553333333333335</v>
      </c>
      <c r="CQ66" s="2" cm="1">
        <f t="array" aca="1" ref="CQ66" ca="1">MAX(_xlfn._xlws.FILTER(CJ66:CP66,CJ66:CP66&lt;BJ66))</f>
        <v>13.396666666666667</v>
      </c>
      <c r="CR66" s="2" cm="1">
        <f t="array" aca="1" ref="CR66" ca="1">MIN(_xlfn._xlws.FILTER($CJ66:$CP66,$CJ66:$CP66&gt;BJ66))</f>
        <v>15.233333333333333</v>
      </c>
      <c r="CS66" s="19">
        <f t="shared" ca="1" si="72"/>
        <v>0.1370987807912416</v>
      </c>
      <c r="CT66" s="23">
        <f t="shared" ca="1" si="73"/>
        <v>-6.8549390395620802E-2</v>
      </c>
      <c r="CU66" s="23">
        <f t="shared" ca="1" si="74"/>
        <v>-4.5699593597080534E-2</v>
      </c>
      <c r="CV66" s="23">
        <f t="shared" ca="1" si="75"/>
        <v>-2.7419756158248321E-2</v>
      </c>
      <c r="CW66" s="23">
        <f t="shared" ca="1" si="76"/>
        <v>-1.5233197865693512E-2</v>
      </c>
      <c r="CX66" s="23">
        <f t="shared" ca="1" si="77"/>
        <v>-8.064634164190683E-3</v>
      </c>
      <c r="CY66" s="23">
        <f t="shared" ca="1" si="78"/>
        <v>-4.1545085088255029E-3</v>
      </c>
      <c r="CZ66" s="23">
        <f t="shared" ca="1" si="79"/>
        <v>-2.1092120121729476E-3</v>
      </c>
      <c r="DA66" s="24">
        <f t="shared" ca="1" si="80"/>
        <v>2.1092120121729476E-3</v>
      </c>
      <c r="DB66" s="24">
        <f t="shared" ca="1" si="81"/>
        <v>4.1545085088255029E-3</v>
      </c>
      <c r="DC66" s="24">
        <f t="shared" ca="1" si="82"/>
        <v>8.064634164190683E-3</v>
      </c>
      <c r="DD66" s="24">
        <f t="shared" ca="1" si="83"/>
        <v>1.5233197865693512E-2</v>
      </c>
      <c r="DE66" s="24">
        <f t="shared" ca="1" si="84"/>
        <v>2.7419756158248321E-2</v>
      </c>
      <c r="DF66" s="24">
        <f t="shared" ca="1" si="85"/>
        <v>4.5699593597080534E-2</v>
      </c>
      <c r="DG66" s="24">
        <f t="shared" ca="1" si="86"/>
        <v>6.8549390395620802E-2</v>
      </c>
      <c r="DI66" s="19" cm="1">
        <f t="array" aca="1" ref="DI66" ca="1">MAX(_xlfn._xlws.FILTER(CT66:DG66,CT66:DG66&lt;BP66))</f>
        <v>2.1092120121729476E-3</v>
      </c>
      <c r="DJ66" s="19" cm="1">
        <f t="array" aca="1" ref="DJ66" ca="1">MIN(_xlfn._xlws.FILTER(CT66:DG66,CT66:DG66&gt;BP66))</f>
        <v>4.1545085088255029E-3</v>
      </c>
      <c r="DK66" s="2" cm="1">
        <f t="array" aca="1" ref="DK66" ca="1">_FV(EH66,"Fechamento anterior",TRUE)</f>
        <v>13.75</v>
      </c>
      <c r="DL66" s="36">
        <f ca="1">(BJ66-DM66)/(DN66-DM66)</f>
        <v>0.39108212341193899</v>
      </c>
      <c r="DM66" s="18">
        <f t="shared" ca="1" si="87"/>
        <v>13.779001665167378</v>
      </c>
      <c r="DN66" s="18">
        <f t="shared" ca="1" si="88"/>
        <v>13.807124491996351</v>
      </c>
      <c r="DO66" s="9"/>
      <c r="DP66" s="9"/>
      <c r="DQ66" s="103">
        <v>4.4021212294006922E-3</v>
      </c>
      <c r="DR66" s="103">
        <v>4.4021212294006922E-3</v>
      </c>
      <c r="DS66" s="103">
        <v>4.1919724111504951E-3</v>
      </c>
      <c r="DT66" s="103">
        <f t="shared" ca="1" si="12"/>
        <v>2.0452964966525553E-3</v>
      </c>
      <c r="DU66" s="91">
        <f ca="1">(BJ66-CF66)/(CF66-CE66)</f>
        <v>0.81649658092798194</v>
      </c>
      <c r="DV66" s="46"/>
      <c r="DW66" s="43">
        <f>_xlfn.STDEV.P(BF66:BI66)</f>
        <v>2.4494897427831983E-2</v>
      </c>
      <c r="DX66" s="92">
        <f ca="1">BO66-$DT$2</f>
        <v>0.24959999999999982</v>
      </c>
      <c r="DY66" s="92">
        <f ca="1">BO66-BP66*100</f>
        <v>0.95579999999999998</v>
      </c>
      <c r="DZ66" s="102"/>
      <c r="EA66" s="61">
        <v>0.37142999999999993</v>
      </c>
      <c r="EB66" s="61">
        <v>0.73320000000000007</v>
      </c>
      <c r="EC66" s="61">
        <v>0.18090000000000006</v>
      </c>
      <c r="ED66" s="98">
        <f t="shared" ca="1" si="13"/>
        <v>-0.70620000000000016</v>
      </c>
      <c r="EE66" s="66"/>
      <c r="EF66" s="66"/>
      <c r="EH66" s="2" t="e" vm="66">
        <v>#VALUE!</v>
      </c>
      <c r="EJ66" s="10" cm="1">
        <f t="array" aca="1" ref="EJ66" ca="1">_FV(EH66,"Ações em circulação",TRUE)</f>
        <v>864170300</v>
      </c>
      <c r="EK66" s="21">
        <f>VLOOKUP(BK66,Fundamentus!A:U,5,FALSE)</f>
        <v>3.7709999999999999</v>
      </c>
      <c r="EL66" s="2">
        <f ca="1">(BJ66*EJ66)/EK66</f>
        <v>3160145435.4282684</v>
      </c>
      <c r="EM66" s="20">
        <v>794991989.38941932</v>
      </c>
      <c r="EN66" s="20">
        <f t="shared" ca="1" si="14"/>
        <v>797304693.35855222</v>
      </c>
      <c r="EP66" s="19">
        <f ca="1">(EN66/EM66)-1</f>
        <v>2.9090909090909722E-3</v>
      </c>
      <c r="EQ66" s="40" t="str">
        <f>IF(VLOOKUP(BK66,Fundamentus!A:U,3,FALSE)&lt;15,"Bom",IF(VLOOKUP(BK66,Fundamentus!A:U,3,FALSE)&gt;15,"Ruim","n/a"))</f>
        <v>Bom</v>
      </c>
      <c r="ER66" s="36" t="str">
        <f>IF(VLOOKUP(BK66,Fundamentus!A:U,4,FALSE)&lt;1,"Baixo",IF(VLOOKUP(BK66,Fundamentus!A:U,4,FALSE)&lt;1.5,"Moderado",IF(VLOOKUP(BK66,Fundamentus!A:U,4,FALSE)&gt;1.5,"Alto","n/a")))</f>
        <v>Alto</v>
      </c>
      <c r="ES66" s="20" t="str">
        <f>IF(VLOOKUP(BK66,Fundamentus!A:U,8,FALSE)&lt;0,"Risco elevado",IF(VLOOKUP(BK66,Fundamentus!A:U,8,FALSE)&lt;1,"Saudável",IF(VLOOKUP(BK66,Fundamentus!A:U,8,FALSE)&lt;3,"Estável",IF(VLOOKUP(BK66,Fundamentus!A:U,8,FALSE)&gt;3,"Alerta","n/a"))))</f>
        <v>Alerta</v>
      </c>
      <c r="ET66" s="36" t="str">
        <f t="shared" si="16"/>
        <v>Bom</v>
      </c>
      <c r="EU66" s="20" t="str">
        <f>IF(VLOOKUP(BK66,Fundamentus!A:U,12,FALSE)&lt;2,"Subvalorizada",IF(VLOOKUP(BK66,Fundamentus!A:U,12,FALSE)&lt;6,"Muita barata",IF(VLOOKUP(BK66,Fundamentus!A:U,12,FALSE)&lt;6,"Barata",IF(VLOOKUP(BK66,Fundamentus!A:U,12,FALSE)&lt;8,"Atrativa",IF(VLOOKUP(BK66,Fundamentus!A:U,12,FALSE)&gt;8,"Supervalorizada","n/a")))))</f>
        <v>Supervalorizada</v>
      </c>
      <c r="EW66" s="20" t="str">
        <f>IF(VLOOKUP(BK66,Fundamentus!A:U,17,FALSE)&lt;0.1,"Fraco retorno",IF(VLOOKUP(BK66,Fundamentus!A:U,17,FALSE)&gt;0.1,"Bom retorno","n/a"))</f>
        <v>Bom retorno</v>
      </c>
      <c r="EX66" s="20" t="str">
        <f>IF(VLOOKUP(BK66,Fundamentus!A:U,16,FALSE)&lt;0.1,"Ineficiente",IF(VLOOKUP(BK66,Fundamentus!A:U,16,FALSE)&gt;0.1,"Eficiente","n/a"))</f>
        <v>Eficiente</v>
      </c>
      <c r="EY66" s="41" t="str">
        <f>IF(VLOOKUP(BK66,Fundamentus!A:U,16,FALSE)&lt;0.1,"Oper. Ineficiente",IF(VLOOKUP(BK66,Fundamentus!A:U,16,FALSE)&gt;0.1,"Oper.Eficiente","n/a"))</f>
        <v>Oper.Eficiente</v>
      </c>
      <c r="EZ66" s="42">
        <f>VLOOKUP(BK66,Fundamentus!A:U,14,FALSE)</f>
        <v>0.25230000000000002</v>
      </c>
      <c r="FA66" s="20" t="str">
        <f>IF(VLOOKUP(BK66,Fundamentus!A:U,21,FALSE)&lt;0,"Negativo",IF(VLOOKUP(BK66,Fundamentus!A:U,21,FALSE)&lt;0.05,"Fraco",IF(VLOOKUP(BK66,Fundamentus!A:U,21,FALSE)&lt;0.1,"Bom",IF(VLOOKUP(BK66,Fundamentus!A:U,21,FALSE)&gt;0.1,"Muito bom","n/a"))))</f>
        <v>Muito bom</v>
      </c>
      <c r="FC66" s="37" t="str">
        <f>IF(VLOOKUP(BK66,Fundamentus!A:U,15,FALSE)&gt;1,"Bom",IF(VLOOKUP(BK66,Fundamentus!A:U,15,FALSE)&lt;1,"Ruim","n/a"))</f>
        <v>Bom</v>
      </c>
      <c r="FD66" s="20" t="str">
        <f>IF(VLOOKUP(BK66,Fundamentus!A:U,20,FALSE)&lt;0.5,"Baixa",IF(VLOOKUP(BK66,Fundamentus!A:U,20,FALSE)&lt;1,"Moderada",IF(VLOOKUP(BK66,Fundamentus!A:U,20,FALSE)&lt;2,"Alerta",IF(VLOOKUP(BK66,Fundamentus!A:U,20,FALSE)&gt;2,"Alta","n/a"))))</f>
        <v>Alta</v>
      </c>
    </row>
    <row r="67" spans="1:161" s="2" customFormat="1" ht="11.25" hidden="1"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8">
        <v>17.88</v>
      </c>
      <c r="BC67" s="62">
        <v>18.95</v>
      </c>
      <c r="BD67" s="62">
        <v>19.18</v>
      </c>
      <c r="BE67" s="62">
        <v>20.18</v>
      </c>
      <c r="BF67" s="62">
        <v>20.13</v>
      </c>
      <c r="BG67" s="81">
        <v>21.07</v>
      </c>
      <c r="BH67" s="62">
        <v>21.43</v>
      </c>
      <c r="BI67" s="62">
        <v>21.21</v>
      </c>
      <c r="BJ67" s="62" cm="1">
        <f t="array" aca="1" ref="BJ67" ca="1">_FV(EH67,"Preço")</f>
        <v>21.72</v>
      </c>
      <c r="BK67" s="83" t="s">
        <v>116</v>
      </c>
      <c r="BL67" s="44" cm="1">
        <f t="array" aca="1" ref="BL67" ca="1">_FV(EH67,"Média de volume",TRUE)</f>
        <v>10619940</v>
      </c>
      <c r="BM67" s="44">
        <v>10885500</v>
      </c>
      <c r="BN67" s="44" cm="1">
        <f t="array" aca="1" ref="BN67" ca="1">_FV(EH67,"Volume")</f>
        <v>5198300</v>
      </c>
      <c r="BO67" s="32" cm="1">
        <f t="array" aca="1" ref="BO67" ca="1">_FV(EH67,"Beta")</f>
        <v>1.0162</v>
      </c>
      <c r="BP67" s="86" cm="1">
        <f t="array" aca="1" ref="BP67" ca="1">_FV(EH67,"Variação (%)",TRUE)</f>
        <v>2.4045E-2</v>
      </c>
      <c r="BQ67" s="84"/>
      <c r="BR67" s="84"/>
      <c r="BT67" s="20" cm="1">
        <f t="array" aca="1" ref="BT67" ca="1">_FV(EH67,"Baixo")</f>
        <v>21.33</v>
      </c>
      <c r="BU67" s="20" cm="1">
        <f t="array" aca="1" ref="BU67" ca="1">_FV(EH67,"Alto")</f>
        <v>21.85</v>
      </c>
      <c r="BV67" s="32"/>
      <c r="BW67" s="73">
        <f ca="1">SQRT(22.5*(BJ67/VLOOKUP(BK67,Fundamentus!A:U,3,FALSE))*(BJ67/VLOOKUP(BK67,Fundamentus!A:U,4,FALSE)))</f>
        <v>49.219780427664283</v>
      </c>
      <c r="BY67" s="72">
        <f t="shared" ca="1" si="0"/>
        <v>2.4045261669023949E-2</v>
      </c>
      <c r="BZ67" s="8"/>
      <c r="CA67" s="71">
        <f t="shared" si="36"/>
        <v>16.48</v>
      </c>
      <c r="CB67" s="71">
        <f t="shared" si="1"/>
        <v>26.03</v>
      </c>
      <c r="CC67" s="71">
        <f t="shared" si="37"/>
        <v>20.794262295081975</v>
      </c>
      <c r="CD67" s="17"/>
      <c r="CE67" s="43">
        <f t="shared" si="19"/>
        <v>20.86783065961513</v>
      </c>
      <c r="CF67" s="18">
        <f>FORECAST("04/07/2025", BF67:BI67, $BF$5:$BI$5)</f>
        <v>21.860000000000127</v>
      </c>
      <c r="CG67" s="43">
        <f t="shared" si="20"/>
        <v>22.852169340385124</v>
      </c>
      <c r="CI67" s="17"/>
      <c r="CJ67" s="20">
        <f>CA67-2*(CB67-CM67)</f>
        <v>6.9000000000000021</v>
      </c>
      <c r="CK67" s="20">
        <f>CM67-(CB67-CA67)</f>
        <v>11.690000000000001</v>
      </c>
      <c r="CL67" s="20">
        <f>2*CM67-CB67</f>
        <v>16.450000000000003</v>
      </c>
      <c r="CM67" s="48">
        <f>(CB67+CA67+BI67)/3</f>
        <v>21.240000000000002</v>
      </c>
      <c r="CN67" s="20">
        <f>2*CM67-CA67</f>
        <v>26.000000000000004</v>
      </c>
      <c r="CO67" s="20">
        <f>CM67+(CB67-CA67)</f>
        <v>30.790000000000003</v>
      </c>
      <c r="CP67" s="20">
        <f>CB67+2*(CM67-CA67)</f>
        <v>35.550000000000004</v>
      </c>
      <c r="CQ67" s="2" cm="1">
        <f t="array" aca="1" ref="CQ67" ca="1">MAX(_xlfn._xlws.FILTER(CJ67:CP67,CJ67:CP67&lt;BJ67))</f>
        <v>21.240000000000002</v>
      </c>
      <c r="CR67" s="2" cm="1">
        <f t="array" aca="1" ref="CR67" ca="1">MIN(_xlfn._xlws.FILTER($CJ67:$CP67,$CJ67:$CP67&gt;BJ67))</f>
        <v>26.000000000000004</v>
      </c>
      <c r="CS67" s="19">
        <f t="shared" ca="1" si="72"/>
        <v>0.22410546139359711</v>
      </c>
      <c r="CT67" s="23">
        <f t="shared" ca="1" si="73"/>
        <v>-0.11205273069679855</v>
      </c>
      <c r="CU67" s="23">
        <f t="shared" ca="1" si="74"/>
        <v>-7.4701820464532373E-2</v>
      </c>
      <c r="CV67" s="23">
        <f t="shared" ca="1" si="75"/>
        <v>-4.4821092278719422E-2</v>
      </c>
      <c r="CW67" s="23">
        <f t="shared" ca="1" si="76"/>
        <v>-2.4900606821510789E-2</v>
      </c>
      <c r="CX67" s="23">
        <f t="shared" ca="1" si="77"/>
        <v>-1.318267419962336E-2</v>
      </c>
      <c r="CY67" s="23">
        <f t="shared" ca="1" si="78"/>
        <v>-6.7910745876847605E-3</v>
      </c>
      <c r="CZ67" s="23">
        <f t="shared" ca="1" si="79"/>
        <v>-3.4477763291322632E-3</v>
      </c>
      <c r="DA67" s="24">
        <f t="shared" ca="1" si="80"/>
        <v>3.4477763291322632E-3</v>
      </c>
      <c r="DB67" s="24">
        <f t="shared" ca="1" si="81"/>
        <v>6.7910745876847605E-3</v>
      </c>
      <c r="DC67" s="24">
        <f t="shared" ca="1" si="82"/>
        <v>1.318267419962336E-2</v>
      </c>
      <c r="DD67" s="24">
        <f t="shared" ca="1" si="83"/>
        <v>2.4900606821510789E-2</v>
      </c>
      <c r="DE67" s="24">
        <f t="shared" ca="1" si="84"/>
        <v>4.4821092278719422E-2</v>
      </c>
      <c r="DF67" s="24">
        <f t="shared" ca="1" si="85"/>
        <v>7.4701820464532373E-2</v>
      </c>
      <c r="DG67" s="24">
        <f t="shared" ca="1" si="86"/>
        <v>0.11205273069679855</v>
      </c>
      <c r="DI67" s="19" cm="1">
        <f t="array" aca="1" ref="DI67" ca="1">MAX(_xlfn._xlws.FILTER(CT67:DG67,CT67:DG67&lt;BP67))</f>
        <v>1.318267419962336E-2</v>
      </c>
      <c r="DJ67" s="19" cm="1">
        <f t="array" aca="1" ref="DJ67" ca="1">MIN(_xlfn._xlws.FILTER(CT67:DG67,CT67:DG67&gt;BP67))</f>
        <v>2.4900606821510789E-2</v>
      </c>
      <c r="DK67" s="2" cm="1">
        <f t="array" aca="1" ref="DK67" ca="1">_FV(EH67,"Fechamento anterior",TRUE)</f>
        <v>21.21</v>
      </c>
      <c r="DL67" s="36">
        <f ca="1">(BJ67-DM67)/(DN67-DM67)</f>
        <v>0.92700545564759429</v>
      </c>
      <c r="DM67" s="18">
        <f t="shared" ca="1" si="87"/>
        <v>21.489604519774012</v>
      </c>
      <c r="DN67" s="18">
        <f t="shared" ca="1" si="88"/>
        <v>21.738141870684245</v>
      </c>
      <c r="DO67" s="9"/>
      <c r="DP67" s="9"/>
      <c r="DQ67" s="95">
        <v>1.8532631706284379E-2</v>
      </c>
      <c r="DR67" s="95">
        <v>3.1103717549008747E-3</v>
      </c>
      <c r="DS67" s="95">
        <v>9.0984621655092399E-3</v>
      </c>
      <c r="DT67" s="95">
        <f t="shared" ca="1" si="12"/>
        <v>1.1717932621887429E-2</v>
      </c>
      <c r="DU67" s="87">
        <f ca="1">(BJ67-CF67)/(CF67-CE67)</f>
        <v>-0.14110494479279462</v>
      </c>
      <c r="DV67" s="46"/>
      <c r="DW67" s="43">
        <f>_xlfn.STDEV.P(BF67:BI67)</f>
        <v>0.49608467019249897</v>
      </c>
      <c r="DX67" s="76">
        <f ca="1">BO67-$DT$2</f>
        <v>1.9099999999999895E-2</v>
      </c>
      <c r="DY67" s="76">
        <f ca="1">BO67-BP67*100</f>
        <v>-1.3883000000000001</v>
      </c>
      <c r="DZ67" s="101"/>
      <c r="EA67" s="100">
        <v>0.48509999999999998</v>
      </c>
      <c r="EB67" s="107">
        <v>0.91630000000000011</v>
      </c>
      <c r="EC67" s="107">
        <v>0.18090000000000006</v>
      </c>
      <c r="ED67" s="98">
        <f t="shared" ca="1" si="13"/>
        <v>1.4074</v>
      </c>
      <c r="EE67" s="66"/>
      <c r="EF67" s="66"/>
      <c r="EH67" s="2" t="e" vm="67">
        <v>#VALUE!</v>
      </c>
      <c r="EJ67" s="10" cm="1">
        <f t="array" aca="1" ref="EJ67" ca="1">_FV(EH67,"Ações em circulação",TRUE)</f>
        <v>1119000000</v>
      </c>
      <c r="EK67" s="21">
        <f>VLOOKUP(BK67,Fundamentus!A:U,5,FALSE)</f>
        <v>0.13300000000000001</v>
      </c>
      <c r="EL67" s="2">
        <f ca="1">(BJ67*EJ67)/EK67</f>
        <v>182741954887.21805</v>
      </c>
      <c r="EM67" s="20">
        <v>6210096631.5789471</v>
      </c>
      <c r="EN67" s="20">
        <f t="shared" ca="1" si="14"/>
        <v>6359420030.0751877</v>
      </c>
      <c r="EP67" s="19">
        <f t="shared" ref="EP67:EP130" ca="1" si="89">(EN67/EM67)-1</f>
        <v>2.4045261669024098E-2</v>
      </c>
      <c r="EQ67" s="40" t="str">
        <f>IF(VLOOKUP(BK67,Fundamentus!A:U,3,FALSE)&lt;15,"Bom",IF(VLOOKUP(BK67,Fundamentus!A:U,3,FALSE)&gt;15,"Ruim","n/a"))</f>
        <v>Bom</v>
      </c>
      <c r="ER67" s="36" t="str">
        <f>IF(VLOOKUP(BK67,Fundamentus!A:U,4,FALSE)&lt;1,"Baixo",IF(VLOOKUP(BK67,Fundamentus!A:U,4,FALSE)&lt;1.5,"Moderado",IF(VLOOKUP(BK67,Fundamentus!A:U,4,FALSE)&gt;1.5,"Alto","n/a")))</f>
        <v>Moderado</v>
      </c>
      <c r="ES67" s="20" t="str">
        <f>IF(VLOOKUP(BK67,Fundamentus!A:U,8,FALSE)&lt;0,"Risco elevado",IF(VLOOKUP(BK67,Fundamentus!A:U,8,FALSE)&lt;1,"Saudável",IF(VLOOKUP(BK67,Fundamentus!A:U,8,FALSE)&lt;3,"Estável",IF(VLOOKUP(BK67,Fundamentus!A:U,8,FALSE)&gt;3,"Alerta","n/a"))))</f>
        <v>Estável</v>
      </c>
      <c r="ET67" s="36" t="str">
        <f t="shared" si="16"/>
        <v>Ruim</v>
      </c>
      <c r="EU67" s="20" t="str">
        <f>IF(VLOOKUP(BK67,Fundamentus!A:U,12,FALSE)&lt;2,"Subvalorizada",IF(VLOOKUP(BK67,Fundamentus!A:U,12,FALSE)&lt;6,"Muita barata",IF(VLOOKUP(BK67,Fundamentus!A:U,12,FALSE)&lt;6,"Barata",IF(VLOOKUP(BK67,Fundamentus!A:U,12,FALSE)&lt;8,"Atrativa",IF(VLOOKUP(BK67,Fundamentus!A:U,12,FALSE)&gt;8,"Supervalorizada","n/a")))))</f>
        <v>Supervalorizada</v>
      </c>
      <c r="EW67" s="20" t="str">
        <f>IF(VLOOKUP(BK67,Fundamentus!A:U,17,FALSE)&lt;0.1,"Fraco retorno",IF(VLOOKUP(BK67,Fundamentus!A:U,17,FALSE)&gt;0.1,"Bom retorno","n/a"))</f>
        <v>Bom retorno</v>
      </c>
      <c r="EX67" s="20" t="str">
        <f>IF(VLOOKUP(BK67,Fundamentus!A:U,16,FALSE)&lt;0.1,"Ineficiente",IF(VLOOKUP(BK67,Fundamentus!A:U,16,FALSE)&gt;0.1,"Eficiente","n/a"))</f>
        <v>Ineficiente</v>
      </c>
      <c r="EY67" s="41" t="str">
        <f>IF(VLOOKUP(BK67,Fundamentus!A:U,16,FALSE)&lt;0.1,"Oper. Ineficiente",IF(VLOOKUP(BK67,Fundamentus!A:U,16,FALSE)&gt;0.1,"Oper.Eficiente","n/a"))</f>
        <v>Oper. Ineficiente</v>
      </c>
      <c r="EZ67" s="42">
        <f>VLOOKUP(BK67,Fundamentus!A:U,14,FALSE)</f>
        <v>3.4799999999999998E-2</v>
      </c>
      <c r="FA67" s="20" t="str">
        <f>IF(VLOOKUP(BK67,Fundamentus!A:U,21,FALSE)&lt;0,"Negativo",IF(VLOOKUP(BK67,Fundamentus!A:U,21,FALSE)&lt;0.05,"Fraco",IF(VLOOKUP(BK67,Fundamentus!A:U,21,FALSE)&lt;0.1,"Bom",IF(VLOOKUP(BK67,Fundamentus!A:U,21,FALSE)&gt;0.1,"Muito bom","n/a"))))</f>
        <v>Muito bom</v>
      </c>
      <c r="FC67" s="37" t="str">
        <f>IF(VLOOKUP(BK67,Fundamentus!A:U,15,FALSE)&gt;1,"Bom",IF(VLOOKUP(BK67,Fundamentus!A:U,15,FALSE)&lt;1,"Ruim","n/a"))</f>
        <v>Bom</v>
      </c>
      <c r="FD67" s="20" t="str">
        <f>IF(VLOOKUP(BK67,Fundamentus!A:U,20,FALSE)&lt;0.5,"Baixa",IF(VLOOKUP(BK67,Fundamentus!A:U,20,FALSE)&lt;1,"Moderada",IF(VLOOKUP(BK67,Fundamentus!A:U,20,FALSE)&lt;2,"Alerta",IF(VLOOKUP(BK67,Fundamentus!A:U,20,FALSE)&gt;2,"Alta","n/a"))))</f>
        <v>Alerta</v>
      </c>
      <c r="FE67" s="10"/>
    </row>
    <row r="68" spans="1:161" s="2" customFormat="1" ht="11.25" hidden="1"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8">
        <v>28.78</v>
      </c>
      <c r="BC68" s="62">
        <v>27.33</v>
      </c>
      <c r="BD68" s="62">
        <v>26.15</v>
      </c>
      <c r="BE68" s="62">
        <v>26.34</v>
      </c>
      <c r="BF68" s="62">
        <v>26.88</v>
      </c>
      <c r="BG68" s="81">
        <v>27.03</v>
      </c>
      <c r="BH68" s="62">
        <v>26.86</v>
      </c>
      <c r="BI68" s="62">
        <v>27.01</v>
      </c>
      <c r="BJ68" s="62" cm="1">
        <f t="array" aca="1" ref="BJ68" ca="1">_FV(EH68,"Preço")</f>
        <v>27.35</v>
      </c>
      <c r="BK68" s="83" t="s">
        <v>65</v>
      </c>
      <c r="BL68" s="44" cm="1">
        <f t="array" aca="1" ref="BL68" ca="1">_FV(EH68,"Média de volume",TRUE)</f>
        <v>410160</v>
      </c>
      <c r="BM68" s="44">
        <v>357100</v>
      </c>
      <c r="BN68" s="44" cm="1">
        <f t="array" aca="1" ref="BN68" ca="1">_FV(EH68,"Volume")</f>
        <v>144800</v>
      </c>
      <c r="BO68" s="32" cm="1">
        <f t="array" aca="1" ref="BO68" ca="1">_FV(EH68,"Beta")</f>
        <v>0.93489999999999995</v>
      </c>
      <c r="BP68" s="86" cm="1">
        <f t="array" aca="1" ref="BP68" ca="1">_FV(EH68,"Variação (%)",TRUE)</f>
        <v>1.2587999999999998E-2</v>
      </c>
      <c r="BQ68" s="48"/>
      <c r="BR68" s="48"/>
      <c r="BT68" s="20" cm="1">
        <f t="array" aca="1" ref="BT68" ca="1">_FV(EH68,"Baixo")</f>
        <v>26.9</v>
      </c>
      <c r="BU68" s="20" cm="1">
        <f t="array" aca="1" ref="BU68" ca="1">_FV(EH68,"Alto")</f>
        <v>27.57</v>
      </c>
      <c r="BV68" s="32"/>
      <c r="BW68" s="73">
        <f ca="1">SQRT(22.5*(BJ68/VLOOKUP(BK68,Fundamentus!A:U,3,FALSE))*(BJ68/VLOOKUP(BK68,Fundamentus!A:U,4,FALSE)))</f>
        <v>14.86869855336783</v>
      </c>
      <c r="BY68" s="72">
        <f t="shared" ca="1" si="0"/>
        <v>1.2587930396149569E-2</v>
      </c>
      <c r="BZ68" s="8"/>
      <c r="CA68" s="71">
        <f t="shared" si="36"/>
        <v>17.03</v>
      </c>
      <c r="CB68" s="71">
        <f t="shared" si="1"/>
        <v>29.24</v>
      </c>
      <c r="CC68" s="71">
        <f t="shared" si="37"/>
        <v>22.14573770491803</v>
      </c>
      <c r="CD68" s="17"/>
      <c r="CE68" s="43">
        <f t="shared" si="19"/>
        <v>26.848672540495784</v>
      </c>
      <c r="CF68" s="18">
        <f>FORECAST("04/07/2025", BF68:BI68, $BF$5:$BI$5)</f>
        <v>27</v>
      </c>
      <c r="CG68" s="43">
        <f t="shared" si="20"/>
        <v>27.151327459504216</v>
      </c>
      <c r="CI68" s="17"/>
      <c r="CJ68" s="20">
        <f>CA68-2*(CB68-CM68)</f>
        <v>7.403333333333336</v>
      </c>
      <c r="CK68" s="20">
        <f>CM68-(CB68-CA68)</f>
        <v>12.216666666666669</v>
      </c>
      <c r="CL68" s="20">
        <f>2*CM68-CB68</f>
        <v>19.613333333333333</v>
      </c>
      <c r="CM68" s="48">
        <f>(CB68+CA68+BI68)/3</f>
        <v>24.426666666666666</v>
      </c>
      <c r="CN68" s="20">
        <f>2*CM68-CA68</f>
        <v>31.823333333333331</v>
      </c>
      <c r="CO68" s="20">
        <f>CM68+(CB68-CA68)</f>
        <v>36.636666666666663</v>
      </c>
      <c r="CP68" s="20">
        <f>CB68+2*(CM68-CA68)</f>
        <v>44.033333333333331</v>
      </c>
      <c r="CQ68" s="2" cm="1">
        <f t="array" aca="1" ref="CQ68" ca="1">MAX(_xlfn._xlws.FILTER(CJ68:CP68,CJ68:CP68&lt;BJ68))</f>
        <v>24.426666666666666</v>
      </c>
      <c r="CR68" s="2" cm="1">
        <f t="array" aca="1" ref="CR68" ca="1">MIN(_xlfn._xlws.FILTER($CJ68:$CP68,$CJ68:$CP68&gt;BJ68))</f>
        <v>31.823333333333331</v>
      </c>
      <c r="CS68" s="19">
        <f t="shared" ca="1" si="72"/>
        <v>0.30281113537117887</v>
      </c>
      <c r="CT68" s="23">
        <f t="shared" ca="1" si="73"/>
        <v>-0.15140556768558944</v>
      </c>
      <c r="CU68" s="23">
        <f t="shared" ca="1" si="74"/>
        <v>-0.1009370451237263</v>
      </c>
      <c r="CV68" s="23">
        <f t="shared" ca="1" si="75"/>
        <v>-6.0562227074235774E-2</v>
      </c>
      <c r="CW68" s="23">
        <f t="shared" ca="1" si="76"/>
        <v>-3.3645681707908763E-2</v>
      </c>
      <c r="CX68" s="23">
        <f t="shared" ca="1" si="77"/>
        <v>-1.7812419727716404E-2</v>
      </c>
      <c r="CY68" s="23">
        <f t="shared" ca="1" si="78"/>
        <v>-9.1760950112478451E-3</v>
      </c>
      <c r="CZ68" s="23">
        <f t="shared" ca="1" si="79"/>
        <v>-4.6586328518642903E-3</v>
      </c>
      <c r="DA68" s="24">
        <f t="shared" ca="1" si="80"/>
        <v>4.6586328518642903E-3</v>
      </c>
      <c r="DB68" s="24">
        <f t="shared" ca="1" si="81"/>
        <v>9.1760950112478451E-3</v>
      </c>
      <c r="DC68" s="24">
        <f t="shared" ca="1" si="82"/>
        <v>1.7812419727716404E-2</v>
      </c>
      <c r="DD68" s="24">
        <f t="shared" ca="1" si="83"/>
        <v>3.3645681707908763E-2</v>
      </c>
      <c r="DE68" s="24">
        <f t="shared" ca="1" si="84"/>
        <v>6.0562227074235774E-2</v>
      </c>
      <c r="DF68" s="24">
        <f t="shared" ca="1" si="85"/>
        <v>0.1009370451237263</v>
      </c>
      <c r="DG68" s="24">
        <f t="shared" ca="1" si="86"/>
        <v>0.15140556768558944</v>
      </c>
      <c r="DI68" s="19" cm="1">
        <f t="array" aca="1" ref="DI68" ca="1">MAX(_xlfn._xlws.FILTER(CT68:DG68,CT68:DG68&lt;BP68))</f>
        <v>9.1760950112478451E-3</v>
      </c>
      <c r="DJ68" s="19" cm="1">
        <f t="array" aca="1" ref="DJ68" ca="1">MIN(_xlfn._xlws.FILTER(CT68:DG68,CT68:DG68&gt;BP68))</f>
        <v>1.7812419727716404E-2</v>
      </c>
      <c r="DK68" s="2" cm="1">
        <f t="array" aca="1" ref="DK68" ca="1">_FV(EH68,"Fechamento anterior",TRUE)</f>
        <v>27.01</v>
      </c>
      <c r="DL68" s="36">
        <f ca="1">(BJ68-DM68)/(DN68-DM68)</f>
        <v>0.39505640384221968</v>
      </c>
      <c r="DM68" s="18">
        <f t="shared" ca="1" si="87"/>
        <v>27.257846326253805</v>
      </c>
      <c r="DN68" s="18">
        <f t="shared" ca="1" si="88"/>
        <v>27.491113456845621</v>
      </c>
      <c r="DO68" s="9"/>
      <c r="DP68" s="9"/>
      <c r="DQ68" s="94">
        <v>9.0262168608474594E-3</v>
      </c>
      <c r="DR68" s="94">
        <v>4.3763475688957387E-3</v>
      </c>
      <c r="DS68" s="94">
        <v>4.5203000728239462E-3</v>
      </c>
      <c r="DT68" s="94">
        <f t="shared" ca="1" si="12"/>
        <v>8.6363247164685589E-3</v>
      </c>
      <c r="DU68" s="87">
        <f ca="1">(BJ68-CF68)/(CF68-CE68)</f>
        <v>2.3128651015928137</v>
      </c>
      <c r="DV68" s="46"/>
      <c r="DW68" s="43">
        <f>_xlfn.STDEV.P(BF68:BI68)</f>
        <v>7.5663729752108805E-2</v>
      </c>
      <c r="DX68" s="76">
        <f ca="1">BO68-$DT$2</f>
        <v>-6.2200000000000144E-2</v>
      </c>
      <c r="DY68" s="76">
        <f ca="1">BO68-BP68*100</f>
        <v>-0.32389999999999997</v>
      </c>
      <c r="DZ68" s="101"/>
      <c r="EA68" s="100">
        <v>0.26224000000000003</v>
      </c>
      <c r="EB68" s="107">
        <v>-0.80039999999999978</v>
      </c>
      <c r="EC68" s="107">
        <v>0.55249999999999999</v>
      </c>
      <c r="ED68" s="98">
        <f t="shared" ca="1" si="13"/>
        <v>0.26169999999999982</v>
      </c>
      <c r="EE68" s="66"/>
      <c r="EF68" s="66"/>
      <c r="EH68" s="2" t="e" vm="68">
        <v>#VALUE!</v>
      </c>
      <c r="EJ68" s="10" cm="1">
        <f t="array" aca="1" ref="EJ68" ca="1">_FV(EH68,"Ações em circulação",TRUE)</f>
        <v>270016300</v>
      </c>
      <c r="EK68" s="21">
        <f>VLOOKUP(BK68,Fundamentus!A:U,5,FALSE)</f>
        <v>1.6379999999999999</v>
      </c>
      <c r="EL68" s="2">
        <f ca="1">(BJ68*EJ68)/EK68</f>
        <v>4508513922.466423</v>
      </c>
      <c r="EM68" s="20">
        <v>335270733.70201468</v>
      </c>
      <c r="EN68" s="20">
        <f t="shared" ca="1" si="14"/>
        <v>339491098.36172169</v>
      </c>
      <c r="EP68" s="19">
        <f t="shared" ca="1" si="89"/>
        <v>1.2587930396149805E-2</v>
      </c>
      <c r="EQ68" s="40" t="str">
        <f>IF(VLOOKUP(BK68,Fundamentus!A:U,3,FALSE)&lt;15,"Bom",IF(VLOOKUP(BK68,Fundamentus!A:U,3,FALSE)&gt;15,"Ruim","n/a"))</f>
        <v>Ruim</v>
      </c>
      <c r="ER68" s="36" t="str">
        <f>IF(VLOOKUP(BK68,Fundamentus!A:U,4,FALSE)&lt;1,"Baixo",IF(VLOOKUP(BK68,Fundamentus!A:U,4,FALSE)&lt;1.5,"Moderado",IF(VLOOKUP(BK68,Fundamentus!A:U,4,FALSE)&gt;1.5,"Alto","n/a")))</f>
        <v>Alto</v>
      </c>
      <c r="ES68" s="20" t="str">
        <f>IF(VLOOKUP(BK68,Fundamentus!A:U,8,FALSE)&lt;0,"Risco elevado",IF(VLOOKUP(BK68,Fundamentus!A:U,8,FALSE)&lt;1,"Saudável",IF(VLOOKUP(BK68,Fundamentus!A:U,8,FALSE)&lt;3,"Estável",IF(VLOOKUP(BK68,Fundamentus!A:U,8,FALSE)&gt;3,"Alerta","n/a"))))</f>
        <v>Alerta</v>
      </c>
      <c r="ET68" s="36" t="str">
        <f t="shared" si="16"/>
        <v>Bom</v>
      </c>
      <c r="EU68" s="20" t="str">
        <f>IF(VLOOKUP(BK68,Fundamentus!A:U,12,FALSE)&lt;2,"Subvalorizada",IF(VLOOKUP(BK68,Fundamentus!A:U,12,FALSE)&lt;6,"Muita barata",IF(VLOOKUP(BK68,Fundamentus!A:U,12,FALSE)&lt;6,"Barata",IF(VLOOKUP(BK68,Fundamentus!A:U,12,FALSE)&lt;8,"Atrativa",IF(VLOOKUP(BK68,Fundamentus!A:U,12,FALSE)&gt;8,"Supervalorizada","n/a")))))</f>
        <v>Supervalorizada</v>
      </c>
      <c r="EW68" s="20" t="str">
        <f>IF(VLOOKUP(BK68,Fundamentus!A:U,17,FALSE)&lt;0.1,"Fraco retorno",IF(VLOOKUP(BK68,Fundamentus!A:U,17,FALSE)&gt;0.1,"Bom retorno","n/a"))</f>
        <v>Bom retorno</v>
      </c>
      <c r="EX68" s="20" t="str">
        <f>IF(VLOOKUP(BK68,Fundamentus!A:U,16,FALSE)&lt;0.1,"Ineficiente",IF(VLOOKUP(BK68,Fundamentus!A:U,16,FALSE)&gt;0.1,"Eficiente","n/a"))</f>
        <v>Eficiente</v>
      </c>
      <c r="EY68" s="41" t="str">
        <f>IF(VLOOKUP(BK68,Fundamentus!A:U,16,FALSE)&lt;0.1,"Oper. Ineficiente",IF(VLOOKUP(BK68,Fundamentus!A:U,16,FALSE)&gt;0.1,"Oper.Eficiente","n/a"))</f>
        <v>Oper.Eficiente</v>
      </c>
      <c r="EZ68" s="42">
        <f>VLOOKUP(BK68,Fundamentus!A:U,14,FALSE)</f>
        <v>7.5300000000000006E-2</v>
      </c>
      <c r="FA68" s="20" t="str">
        <f>IF(VLOOKUP(BK68,Fundamentus!A:U,21,FALSE)&lt;0,"Negativo",IF(VLOOKUP(BK68,Fundamentus!A:U,21,FALSE)&lt;0.05,"Fraco",IF(VLOOKUP(BK68,Fundamentus!A:U,21,FALSE)&lt;0.1,"Bom",IF(VLOOKUP(BK68,Fundamentus!A:U,21,FALSE)&gt;0.1,"Muito bom","n/a"))))</f>
        <v>Muito bom</v>
      </c>
      <c r="FC68" s="37" t="str">
        <f>IF(VLOOKUP(BK68,Fundamentus!A:U,15,FALSE)&gt;1,"Bom",IF(VLOOKUP(BK68,Fundamentus!A:U,15,FALSE)&lt;1,"Ruim","n/a"))</f>
        <v>Bom</v>
      </c>
      <c r="FD68" s="20" t="str">
        <f>IF(VLOOKUP(BK68,Fundamentus!A:U,20,FALSE)&lt;0.5,"Baixa",IF(VLOOKUP(BK68,Fundamentus!A:U,20,FALSE)&lt;1,"Moderada",IF(VLOOKUP(BK68,Fundamentus!A:U,20,FALSE)&lt;2,"Alerta",IF(VLOOKUP(BK68,Fundamentus!A:U,20,FALSE)&gt;2,"Alta","n/a"))))</f>
        <v>Alerta</v>
      </c>
    </row>
    <row r="69" spans="1:161" s="2" customFormat="1" ht="11.25" hidden="1"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8">
        <v>9.84</v>
      </c>
      <c r="BC69" s="62">
        <v>9.9</v>
      </c>
      <c r="BD69" s="62">
        <v>9.99</v>
      </c>
      <c r="BE69" s="62">
        <v>10.14</v>
      </c>
      <c r="BF69" s="62">
        <v>9.61</v>
      </c>
      <c r="BG69" s="81">
        <v>9.6300000000000008</v>
      </c>
      <c r="BH69" s="62">
        <v>9.6199999999999992</v>
      </c>
      <c r="BI69" s="62">
        <v>9.83</v>
      </c>
      <c r="BJ69" s="62" cm="1">
        <f t="array" aca="1" ref="BJ69" ca="1">_FV(EH69,"Preço")</f>
        <v>10.01</v>
      </c>
      <c r="BK69" s="83" t="s">
        <v>66</v>
      </c>
      <c r="BL69" s="44" cm="1">
        <f t="array" aca="1" ref="BL69" ca="1">_FV(EH69,"Média de volume",TRUE)</f>
        <v>1722530</v>
      </c>
      <c r="BM69" s="44">
        <v>3400</v>
      </c>
      <c r="BN69" s="44" cm="1">
        <f t="array" aca="1" ref="BN69" ca="1">_FV(EH69,"Volume")</f>
        <v>12000</v>
      </c>
      <c r="BO69" s="32" cm="1">
        <f t="array" aca="1" ref="BO69" ca="1">_FV(EH69,"Beta")</f>
        <v>0.59989999999999999</v>
      </c>
      <c r="BP69" s="86" cm="1">
        <f t="array" aca="1" ref="BP69" ca="1">_FV(EH69,"Variação (%)",TRUE)</f>
        <v>1.8311000000000001E-2</v>
      </c>
      <c r="BQ69" s="48"/>
      <c r="BR69" s="48"/>
      <c r="BT69" s="20" cm="1">
        <f t="array" aca="1" ref="BT69" ca="1">_FV(EH69,"Baixo")</f>
        <v>9.7899999999999991</v>
      </c>
      <c r="BU69" s="20" cm="1">
        <f t="array" aca="1" ref="BU69" ca="1">_FV(EH69,"Alto")</f>
        <v>10.029999999999999</v>
      </c>
      <c r="BV69" s="32"/>
      <c r="BW69" s="73">
        <f ca="1">SQRT(22.5*(BJ69/VLOOKUP(BK69,Fundamentus!A:U,3,FALSE))*(BJ69/VLOOKUP(BK69,Fundamentus!A:U,4,FALSE)))</f>
        <v>15.452634695712764</v>
      </c>
      <c r="BY69" s="72">
        <f t="shared" ca="1" si="0"/>
        <v>1.8311291963377389E-2</v>
      </c>
      <c r="BZ69" s="8"/>
      <c r="CA69" s="71">
        <f t="shared" si="36"/>
        <v>8.69</v>
      </c>
      <c r="CB69" s="71">
        <f t="shared" si="1"/>
        <v>10.49</v>
      </c>
      <c r="CC69" s="71">
        <f t="shared" si="37"/>
        <v>9.6831147540983622</v>
      </c>
      <c r="CD69" s="17"/>
      <c r="CE69" s="43">
        <f t="shared" si="19"/>
        <v>9.652585636530489</v>
      </c>
      <c r="CF69" s="18">
        <f>FORECAST("04/07/2025", BF69:BI69, $BF$5:$BI$5)</f>
        <v>9.8350000000000364</v>
      </c>
      <c r="CG69" s="43">
        <f t="shared" si="20"/>
        <v>10.017414363469584</v>
      </c>
      <c r="CI69" s="17"/>
      <c r="CJ69" s="20">
        <f>CA69-2*(CB69-CM69)</f>
        <v>7.0499999999999989</v>
      </c>
      <c r="CK69" s="20">
        <f>CM69-(CB69-CA69)</f>
        <v>7.8699999999999992</v>
      </c>
      <c r="CL69" s="20">
        <f>2*CM69-CB69</f>
        <v>8.85</v>
      </c>
      <c r="CM69" s="48">
        <f>(CB69+CA69+BI69)/3</f>
        <v>9.67</v>
      </c>
      <c r="CN69" s="20">
        <f>2*CM69-CA69</f>
        <v>10.65</v>
      </c>
      <c r="CO69" s="20">
        <f>CM69+(CB69-CA69)</f>
        <v>11.47</v>
      </c>
      <c r="CP69" s="20">
        <f>CB69+2*(CM69-CA69)</f>
        <v>12.450000000000001</v>
      </c>
      <c r="CQ69" s="2" cm="1">
        <f t="array" aca="1" ref="CQ69" ca="1">MAX(_xlfn._xlws.FILTER(CJ69:CP69,CJ69:CP69&lt;BJ69))</f>
        <v>9.67</v>
      </c>
      <c r="CR69" s="2" cm="1">
        <f t="array" aca="1" ref="CR69" ca="1">MIN(_xlfn._xlws.FILTER($CJ69:$CP69,$CJ69:$CP69&gt;BJ69))</f>
        <v>10.65</v>
      </c>
      <c r="CS69" s="19">
        <f t="shared" ca="1" si="72"/>
        <v>0.10134436401240965</v>
      </c>
      <c r="CT69" s="23">
        <f t="shared" ca="1" si="73"/>
        <v>-5.0672182006204824E-2</v>
      </c>
      <c r="CU69" s="23">
        <f t="shared" ca="1" si="74"/>
        <v>-3.3781454670803214E-2</v>
      </c>
      <c r="CV69" s="23">
        <f t="shared" ca="1" si="75"/>
        <v>-2.0268872802481928E-2</v>
      </c>
      <c r="CW69" s="23">
        <f t="shared" ca="1" si="76"/>
        <v>-1.1260484890267739E-2</v>
      </c>
      <c r="CX69" s="23">
        <f t="shared" ca="1" si="77"/>
        <v>-5.9614331772005679E-3</v>
      </c>
      <c r="CY69" s="23">
        <f t="shared" ca="1" si="78"/>
        <v>-3.0710413337093831E-3</v>
      </c>
      <c r="CZ69" s="23">
        <f t="shared" ca="1" si="79"/>
        <v>-1.5591440617293791E-3</v>
      </c>
      <c r="DA69" s="24">
        <f t="shared" ca="1" si="80"/>
        <v>1.5591440617293791E-3</v>
      </c>
      <c r="DB69" s="24">
        <f t="shared" ca="1" si="81"/>
        <v>3.0710413337093831E-3</v>
      </c>
      <c r="DC69" s="24">
        <f t="shared" ca="1" si="82"/>
        <v>5.9614331772005679E-3</v>
      </c>
      <c r="DD69" s="24">
        <f t="shared" ca="1" si="83"/>
        <v>1.1260484890267739E-2</v>
      </c>
      <c r="DE69" s="24">
        <f t="shared" ca="1" si="84"/>
        <v>2.0268872802481928E-2</v>
      </c>
      <c r="DF69" s="24">
        <f t="shared" ca="1" si="85"/>
        <v>3.3781454670803214E-2</v>
      </c>
      <c r="DG69" s="24">
        <f t="shared" ca="1" si="86"/>
        <v>5.0672182006204824E-2</v>
      </c>
      <c r="DI69" s="19" cm="1">
        <f t="array" aca="1" ref="DI69" ca="1">MAX(_xlfn._xlws.FILTER(CT69:DG69,CT69:DG69&lt;BP69))</f>
        <v>1.1260484890267739E-2</v>
      </c>
      <c r="DJ69" s="19" cm="1">
        <f t="array" aca="1" ref="DJ69" ca="1">MIN(_xlfn._xlws.FILTER(CT69:DG69,CT69:DG69&gt;BP69))</f>
        <v>2.0268872802481928E-2</v>
      </c>
      <c r="DK69" s="2" cm="1">
        <f t="array" aca="1" ref="DK69" ca="1">_FV(EH69,"Fechamento anterior",TRUE)</f>
        <v>9.83</v>
      </c>
      <c r="DL69" s="36">
        <f ca="1">(BJ69-DM69)/(DN69-DM69)</f>
        <v>0.78269354537337976</v>
      </c>
      <c r="DM69" s="18">
        <f t="shared" ca="1" si="87"/>
        <v>9.9406905664713321</v>
      </c>
      <c r="DN69" s="18">
        <f t="shared" ca="1" si="88"/>
        <v>10.029243019648398</v>
      </c>
      <c r="DO69" s="9"/>
      <c r="DP69" s="9"/>
      <c r="DQ69" s="96">
        <v>1.2931532155640232E-2</v>
      </c>
      <c r="DR69" s="96">
        <v>1.3196294886435745E-2</v>
      </c>
      <c r="DS69" s="96">
        <v>4.9728557395421489E-3</v>
      </c>
      <c r="DT69" s="96">
        <f t="shared" ca="1" si="12"/>
        <v>9.0083879122141892E-3</v>
      </c>
      <c r="DU69" s="87">
        <f ca="1">(BJ69-CF69)/(CF69-CE69)</f>
        <v>0.95935427820177233</v>
      </c>
      <c r="DV69" s="46"/>
      <c r="DW69" s="43">
        <f>_xlfn.STDEV.P(BF69:BI69)</f>
        <v>9.1207181734773643E-2</v>
      </c>
      <c r="DX69" s="76">
        <f ca="1">BO69-$DT$2</f>
        <v>-0.39720000000000011</v>
      </c>
      <c r="DY69" s="76">
        <f ca="1">BO69-BP69*100</f>
        <v>-1.2312000000000003</v>
      </c>
      <c r="DZ69" s="101"/>
      <c r="EA69" s="100">
        <v>1.5370999999999999</v>
      </c>
      <c r="EB69" s="107">
        <v>-0.69489999999999985</v>
      </c>
      <c r="EC69" s="107">
        <v>7.9299999999999926E-2</v>
      </c>
      <c r="ED69" s="98">
        <f t="shared" ca="1" si="13"/>
        <v>0.83400000000000019</v>
      </c>
      <c r="EE69" s="66"/>
      <c r="EF69" s="66"/>
      <c r="EH69" s="2" t="e" vm="69">
        <v>#VALUE!</v>
      </c>
      <c r="EJ69" s="10" cm="1">
        <f t="array" aca="1" ref="EJ69" ca="1">_FV(EH69,"Ações em circulação",TRUE)</f>
        <v>329626900</v>
      </c>
      <c r="EK69" s="21">
        <f>VLOOKUP(BK69,Fundamentus!A:U,5,FALSE)</f>
        <v>2.2519999999999998</v>
      </c>
      <c r="EL69" s="2">
        <f ca="1">(BJ69*EJ69)/EK69</f>
        <v>1465171078.5968029</v>
      </c>
      <c r="EM69" s="20">
        <v>660852022.0786413</v>
      </c>
      <c r="EN69" s="20">
        <f t="shared" ca="1" si="14"/>
        <v>672953076.39951158</v>
      </c>
      <c r="EP69" s="19">
        <f t="shared" ca="1" si="89"/>
        <v>1.8311291963377219E-2</v>
      </c>
      <c r="EQ69" s="49" t="str">
        <f>IF(VLOOKUP(BK69,Fundamentus!A:U,3,FALSE)&lt;15,"Bom",IF(VLOOKUP(BK69,Fundamentus!A:U,3,FALSE)&gt;15,"Ruim","n/a"))</f>
        <v>Bom</v>
      </c>
      <c r="ER69" s="50" t="str">
        <f>IF(VLOOKUP(BK69,Fundamentus!A:U,4,FALSE)&lt;1,"Baixo",IF(VLOOKUP(BK69,Fundamentus!A:U,4,FALSE)&lt;1.5,"Moderado",IF(VLOOKUP(BK69,Fundamentus!A:U,4,FALSE)&gt;1.5,"Alto","n/a")))</f>
        <v>Moderado</v>
      </c>
      <c r="ES69" s="51" t="str">
        <f>IF(VLOOKUP(BK69,Fundamentus!A:U,8,FALSE)&lt;0,"Risco elevado",IF(VLOOKUP(BK69,Fundamentus!A:U,8,FALSE)&lt;1,"Saudável",IF(VLOOKUP(BK69,Fundamentus!A:U,8,FALSE)&lt;3,"Estável",IF(VLOOKUP(BK69,Fundamentus!A:U,8,FALSE)&gt;3,"Alerta","n/a"))))</f>
        <v>Estável</v>
      </c>
      <c r="ET69" s="50" t="str">
        <f t="shared" si="16"/>
        <v>Bom</v>
      </c>
      <c r="EU69" s="51" t="str">
        <f>IF(VLOOKUP(BK69,Fundamentus!A:U,12,FALSE)&lt;2,"Subvalorizada",IF(VLOOKUP(BK69,Fundamentus!A:U,12,FALSE)&lt;6,"Muita barata",IF(VLOOKUP(BK69,Fundamentus!A:U,12,FALSE)&lt;6,"Barata",IF(VLOOKUP(BK69,Fundamentus!A:U,12,FALSE)&lt;8,"Atrativa",IF(VLOOKUP(BK69,Fundamentus!A:U,12,FALSE)&gt;8,"Supervalorizada","n/a")))))</f>
        <v>Atrativa</v>
      </c>
      <c r="EW69" s="51" t="str">
        <f>IF(VLOOKUP(BK69,Fundamentus!A:U,17,FALSE)&lt;0.1,"Fraco retorno",IF(VLOOKUP(BK69,Fundamentus!A:U,17,FALSE)&gt;0.1,"Bom retorno","n/a"))</f>
        <v>Bom retorno</v>
      </c>
      <c r="EX69" s="51" t="str">
        <f>IF(VLOOKUP(BK69,Fundamentus!A:U,16,FALSE)&lt;0.1,"Ineficiente",IF(VLOOKUP(BK69,Fundamentus!A:U,16,FALSE)&gt;0.1,"Eficiente","n/a"))</f>
        <v>Eficiente</v>
      </c>
      <c r="EY69" s="52" t="str">
        <f>IF(VLOOKUP(BK69,Fundamentus!A:U,16,FALSE)&lt;0.1,"Oper. Ineficiente",IF(VLOOKUP(BK69,Fundamentus!A:U,16,FALSE)&gt;0.1,"Oper.Eficiente","n/a"))</f>
        <v>Oper.Eficiente</v>
      </c>
      <c r="EZ69" s="53">
        <f>VLOOKUP(BK69,Fundamentus!A:U,14,FALSE)</f>
        <v>0.45929999999999999</v>
      </c>
      <c r="FA69" s="51" t="str">
        <f>IF(VLOOKUP(BK69,Fundamentus!A:U,21,FALSE)&lt;0,"Negativo",IF(VLOOKUP(BK69,Fundamentus!A:U,21,FALSE)&lt;0.05,"Fraco",IF(VLOOKUP(BK69,Fundamentus!A:U,21,FALSE)&lt;0.1,"Bom",IF(VLOOKUP(BK69,Fundamentus!A:U,21,FALSE)&gt;0.1,"Muito bom","n/a"))))</f>
        <v>Negativo</v>
      </c>
      <c r="FC69" s="54" t="str">
        <f>IF(VLOOKUP(BK69,Fundamentus!A:U,15,FALSE)&gt;1,"Bom",IF(VLOOKUP(BK69,Fundamentus!A:U,15,FALSE)&lt;1,"Ruim","n/a"))</f>
        <v>Bom</v>
      </c>
      <c r="FD69" s="51" t="str">
        <f>IF(VLOOKUP(BK69,Fundamentus!A:U,20,FALSE)&lt;0.5,"Baixa",IF(VLOOKUP(BK69,Fundamentus!A:U,20,FALSE)&lt;1,"Moderada",IF(VLOOKUP(BK69,Fundamentus!A:U,20,FALSE)&lt;2,"Alerta",IF(VLOOKUP(BK69,Fundamentus!A:U,20,FALSE)&gt;2,"Alta","n/a"))))</f>
        <v>Alerta</v>
      </c>
    </row>
    <row r="70" spans="1:161" s="2" customFormat="1" ht="11.25" hidden="1"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8">
        <v>7</v>
      </c>
      <c r="BC70" s="62">
        <v>7.13</v>
      </c>
      <c r="BD70" s="62">
        <v>7.17</v>
      </c>
      <c r="BE70" s="62">
        <v>7.79</v>
      </c>
      <c r="BF70" s="62">
        <v>7.8</v>
      </c>
      <c r="BG70" s="81">
        <v>7.64</v>
      </c>
      <c r="BH70" s="62">
        <v>7.78</v>
      </c>
      <c r="BI70" s="62">
        <v>7.2</v>
      </c>
      <c r="BJ70" s="62" cm="1">
        <f t="array" aca="1" ref="BJ70" ca="1">_FV(EH70,"Preço")</f>
        <v>7.25</v>
      </c>
      <c r="BK70" s="83" t="s">
        <v>117</v>
      </c>
      <c r="BL70" s="44" cm="1">
        <f t="array" aca="1" ref="BL70" ca="1">_FV(EH70,"Média de volume",TRUE)</f>
        <v>378810</v>
      </c>
      <c r="BM70" s="44">
        <v>569100</v>
      </c>
      <c r="BN70" s="44" cm="1">
        <f t="array" aca="1" ref="BN70" ca="1">_FV(EH70,"Volume")</f>
        <v>123400</v>
      </c>
      <c r="BO70" s="32" cm="1">
        <f t="array" aca="1" ref="BO70" ca="1">_FV(EH70,"Beta")</f>
        <v>1.5444</v>
      </c>
      <c r="BP70" s="86" cm="1">
        <f t="array" aca="1" ref="BP70" ca="1">_FV(EH70,"Variação (%)",TRUE)</f>
        <v>6.9440000000000005E-3</v>
      </c>
      <c r="BQ70" s="48"/>
      <c r="BR70" s="48"/>
      <c r="BT70" s="20" cm="1">
        <f t="array" aca="1" ref="BT70" ca="1">_FV(EH70,"Baixo")</f>
        <v>7.16</v>
      </c>
      <c r="BU70" s="20" cm="1">
        <f t="array" aca="1" ref="BU70" ca="1">_FV(EH70,"Alto")</f>
        <v>7.36</v>
      </c>
      <c r="BV70" s="32"/>
      <c r="BW70" s="70">
        <f ca="1">SQRT(22.5*(BJ70/VLOOKUP(BK70,Fundamentus!A:U,3,FALSE))*(BJ70/VLOOKUP(BK70,Fundamentus!A:U,4,FALSE)))</f>
        <v>12.617231933394027</v>
      </c>
      <c r="BY70" s="72">
        <f t="shared" ref="BY70:BY133" ca="1" si="90">(BJ70 - BI70) / BI70</f>
        <v>6.9444444444444198E-3</v>
      </c>
      <c r="BZ70" s="8"/>
      <c r="CA70" s="71">
        <f t="shared" si="36"/>
        <v>4.22</v>
      </c>
      <c r="CB70" s="71">
        <f t="shared" ref="CB70:CB133" si="91">MAX(A70:BI70)</f>
        <v>7.8</v>
      </c>
      <c r="CC70" s="71">
        <f t="shared" si="37"/>
        <v>5.5068852459016391</v>
      </c>
      <c r="CD70" s="17"/>
      <c r="CE70" s="43">
        <f t="shared" si="19"/>
        <v>6.706367908426305</v>
      </c>
      <c r="CF70" s="18">
        <f>FORECAST("04/07/2025", BF70:BI70, $BF$5:$BI$5)</f>
        <v>7.1900000000000546</v>
      </c>
      <c r="CG70" s="43">
        <f t="shared" si="20"/>
        <v>7.6736320915738041</v>
      </c>
      <c r="CI70" s="17"/>
      <c r="CJ70" s="20">
        <f>CA70-2*(CB70-CM70)</f>
        <v>1.4333333333333327</v>
      </c>
      <c r="CK70" s="20">
        <f>CM70-(CB70-CA70)</f>
        <v>2.8266666666666662</v>
      </c>
      <c r="CL70" s="20">
        <f>2*CM70-CB70</f>
        <v>5.0133333333333328</v>
      </c>
      <c r="CM70" s="48">
        <f>(CB70+CA70+BI70)/3</f>
        <v>6.4066666666666663</v>
      </c>
      <c r="CN70" s="20">
        <f>2*CM70-CA70</f>
        <v>8.5933333333333337</v>
      </c>
      <c r="CO70" s="20">
        <f>CM70+(CB70-CA70)</f>
        <v>9.9866666666666664</v>
      </c>
      <c r="CP70" s="20">
        <f>CB70+2*(CM70-CA70)</f>
        <v>12.173333333333332</v>
      </c>
      <c r="CQ70" s="2" cm="1">
        <f t="array" aca="1" ref="CQ70" ca="1">MAX(_xlfn._xlws.FILTER(CJ70:CP70,CJ70:CP70&lt;BJ70))</f>
        <v>6.4066666666666663</v>
      </c>
      <c r="CR70" s="2" cm="1">
        <f t="array" aca="1" ref="CR70" ca="1">MIN(_xlfn._xlws.FILTER($CJ70:$CP70,$CJ70:$CP70&gt;BJ70))</f>
        <v>8.5933333333333337</v>
      </c>
      <c r="CS70" s="19">
        <f t="shared" ca="1" si="72"/>
        <v>0.34131113423517179</v>
      </c>
      <c r="CT70" s="23">
        <f t="shared" ca="1" si="73"/>
        <v>-0.17065556711758589</v>
      </c>
      <c r="CU70" s="23">
        <f t="shared" ca="1" si="74"/>
        <v>-0.11377037807839059</v>
      </c>
      <c r="CV70" s="23">
        <f t="shared" ca="1" si="75"/>
        <v>-6.8262226847034355E-2</v>
      </c>
      <c r="CW70" s="23">
        <f t="shared" ca="1" si="76"/>
        <v>-3.7923459359463535E-2</v>
      </c>
      <c r="CX70" s="23">
        <f t="shared" ca="1" si="77"/>
        <v>-2.0077125543245398E-2</v>
      </c>
      <c r="CY70" s="23">
        <f t="shared" ca="1" si="78"/>
        <v>-1.0342761643490054E-2</v>
      </c>
      <c r="CZ70" s="23">
        <f t="shared" ca="1" si="79"/>
        <v>-5.2509405266949506E-3</v>
      </c>
      <c r="DA70" s="24">
        <f t="shared" ca="1" si="80"/>
        <v>5.2509405266949506E-3</v>
      </c>
      <c r="DB70" s="24">
        <f t="shared" ca="1" si="81"/>
        <v>1.0342761643490054E-2</v>
      </c>
      <c r="DC70" s="24">
        <f t="shared" ca="1" si="82"/>
        <v>2.0077125543245398E-2</v>
      </c>
      <c r="DD70" s="24">
        <f t="shared" ca="1" si="83"/>
        <v>3.7923459359463535E-2</v>
      </c>
      <c r="DE70" s="24">
        <f t="shared" ca="1" si="84"/>
        <v>6.8262226847034355E-2</v>
      </c>
      <c r="DF70" s="24">
        <f t="shared" ca="1" si="85"/>
        <v>0.11377037807839059</v>
      </c>
      <c r="DG70" s="24">
        <f t="shared" ca="1" si="86"/>
        <v>0.17065556711758589</v>
      </c>
      <c r="DI70" s="29" cm="1">
        <f t="array" aca="1" ref="DI70" ca="1">MAX(_xlfn._xlws.FILTER(CT70:DG70,CT70:DG70&lt;BP70))</f>
        <v>5.2509405266949506E-3</v>
      </c>
      <c r="DJ70" s="29" cm="1">
        <f t="array" aca="1" ref="DJ70" ca="1">MIN(_xlfn._xlws.FILTER(CT70:DG70,CT70:DG70&gt;BP70))</f>
        <v>1.0342761643490054E-2</v>
      </c>
      <c r="DK70" s="2" cm="1">
        <f t="array" aca="1" ref="DK70" ca="1">_FV(EH70,"Fechamento anterior",TRUE)</f>
        <v>7.2</v>
      </c>
      <c r="DL70" s="36">
        <f ca="1">(BJ70-DM70)/(DN70-DM70)</f>
        <v>0.3325929719258115</v>
      </c>
      <c r="DM70" s="18">
        <f t="shared" ca="1" si="87"/>
        <v>7.2378067717922034</v>
      </c>
      <c r="DN70" s="18">
        <f t="shared" ca="1" si="88"/>
        <v>7.2744678838331289</v>
      </c>
      <c r="DO70" s="9"/>
      <c r="DP70" s="9"/>
      <c r="DQ70" s="94">
        <v>4.7741799426111288E-3</v>
      </c>
      <c r="DR70" s="94">
        <v>1.6767219708396158E-2</v>
      </c>
      <c r="DS70" s="94">
        <v>1.0154806396802685E-2</v>
      </c>
      <c r="DT70" s="94">
        <f t="shared" ref="DT70:DT133" ca="1" si="92">DJ70-DI70</f>
        <v>5.0918211167951029E-3</v>
      </c>
      <c r="DU70" s="87">
        <f ca="1">(BJ70-CF70)/(CF70-CE70)</f>
        <v>0.12406124623513734</v>
      </c>
      <c r="DV70" s="46"/>
      <c r="DW70" s="43">
        <f>_xlfn.STDEV.P(BF70:BI70)</f>
        <v>0.24181604578687488</v>
      </c>
      <c r="DX70" s="76">
        <f ca="1">BO70-$DT$2</f>
        <v>0.5472999999999999</v>
      </c>
      <c r="DY70" s="76">
        <f ca="1">BO70-BP70*100</f>
        <v>0.85</v>
      </c>
      <c r="DZ70" s="101"/>
      <c r="EA70" s="100">
        <v>2.7920999999999996</v>
      </c>
      <c r="EB70" s="107">
        <v>0.85779999999999967</v>
      </c>
      <c r="EC70" s="107">
        <v>-1.0536999999999999</v>
      </c>
      <c r="ED70" s="98">
        <f t="shared" ref="ED70:ED133" ca="1" si="93">DX70-DY70</f>
        <v>-0.30270000000000008</v>
      </c>
      <c r="EE70" s="66"/>
      <c r="EF70" s="66"/>
      <c r="EH70" s="2" t="e" vm="70">
        <v>#VALUE!</v>
      </c>
      <c r="EJ70" s="10" cm="1">
        <f t="array" aca="1" ref="EJ70" ca="1">_FV(EH70,"Ações em circulação",TRUE)</f>
        <v>186617500</v>
      </c>
      <c r="EK70" s="21">
        <f>VLOOKUP(BK70,Fundamentus!A:U,5,FALSE)</f>
        <v>1.083</v>
      </c>
      <c r="EL70" s="2">
        <f ca="1">(BJ70*EJ70)/EK70</f>
        <v>1249286126.5004618</v>
      </c>
      <c r="EM70" s="20">
        <v>176051124.09972298</v>
      </c>
      <c r="EN70" s="20">
        <f t="shared" ref="EN70:EN133" ca="1" si="94">EL70*EZ70</f>
        <v>177273701.35041553</v>
      </c>
      <c r="EP70" s="19">
        <f t="shared" ca="1" si="89"/>
        <v>6.9444444444446418E-3</v>
      </c>
      <c r="EQ70" s="40" t="str">
        <f>IF(VLOOKUP(BK70,Fundamentus!A:U,3,FALSE)&lt;15,"Bom",IF(VLOOKUP(BK70,Fundamentus!A:U,3,FALSE)&gt;15,"Ruim","n/a"))</f>
        <v>Bom</v>
      </c>
      <c r="ER70" s="65" t="str">
        <f>IF(VLOOKUP(BK70,Fundamentus!A:U,4,FALSE)&lt;1,"Baixo",IF(VLOOKUP(BK70,Fundamentus!A:U,4,FALSE)&lt;1.5,"Moderado",IF(VLOOKUP(BK70,Fundamentus!A:U,4,FALSE)&gt;1.5,"Alto","n/a")))</f>
        <v>Baixo</v>
      </c>
      <c r="ES70" s="20" t="str">
        <f>IF(VLOOKUP(BK70,Fundamentus!A:U,8,FALSE)&lt;0,"Risco elevado",IF(VLOOKUP(BK70,Fundamentus!A:U,8,FALSE)&lt;1,"Saudável",IF(VLOOKUP(BK70,Fundamentus!A:U,8,FALSE)&lt;3,"Estável",IF(VLOOKUP(BK70,Fundamentus!A:U,8,FALSE)&gt;3,"Alerta","n/a"))))</f>
        <v>Saudável</v>
      </c>
      <c r="ET70" s="36" t="str">
        <f t="shared" ref="ET70:ET133" si="95">IF(EK70&gt;1,"Bom","Ruim")</f>
        <v>Bom</v>
      </c>
      <c r="EU70" s="20" t="str">
        <f>IF(VLOOKUP(BK70,Fundamentus!A:U,12,FALSE)&lt;2,"Subvalorizada",IF(VLOOKUP(BK70,Fundamentus!A:U,12,FALSE)&lt;6,"Muita barata",IF(VLOOKUP(BK70,Fundamentus!A:U,12,FALSE)&lt;6,"Barata",IF(VLOOKUP(BK70,Fundamentus!A:U,12,FALSE)&lt;8,"Atrativa",IF(VLOOKUP(BK70,Fundamentus!A:U,12,FALSE)&gt;8,"Supervalorizada","n/a")))))</f>
        <v>Supervalorizada</v>
      </c>
      <c r="EW70" s="20" t="str">
        <f>IF(VLOOKUP(BK70,Fundamentus!A:U,17,FALSE)&lt;0.1,"Fraco retorno",IF(VLOOKUP(BK70,Fundamentus!A:U,17,FALSE)&gt;0.1,"Bom retorno","n/a"))</f>
        <v>Bom retorno</v>
      </c>
      <c r="EX70" s="63" t="str">
        <f>IF(VLOOKUP(BK70,Fundamentus!A:U,16,FALSE)&lt;0.1,"Ineficiente",IF(VLOOKUP(BK70,Fundamentus!A:U,16,FALSE)&gt;0.1,"Eficiente","n/a"))</f>
        <v>Ineficiente</v>
      </c>
      <c r="EY70" s="64" t="str">
        <f>IF(VLOOKUP(BK70,Fundamentus!A:U,16,FALSE)&lt;0.1,"Oper. Ineficiente",IF(VLOOKUP(BK70,Fundamentus!A:U,16,FALSE)&gt;0.1,"Oper.Eficiente","n/a"))</f>
        <v>Oper. Ineficiente</v>
      </c>
      <c r="EZ70" s="42">
        <f>VLOOKUP(BK70,Fundamentus!A:U,14,FALSE)</f>
        <v>0.1419</v>
      </c>
      <c r="FA70" s="20" t="str">
        <f>IF(VLOOKUP(BK70,Fundamentus!A:U,21,FALSE)&lt;0,"Negativo",IF(VLOOKUP(BK70,Fundamentus!A:U,21,FALSE)&lt;0.05,"Fraco",IF(VLOOKUP(BK70,Fundamentus!A:U,21,FALSE)&lt;0.1,"Bom",IF(VLOOKUP(BK70,Fundamentus!A:U,21,FALSE)&gt;0.1,"Muito bom","n/a"))))</f>
        <v>Muito bom</v>
      </c>
      <c r="FC70" s="37" t="str">
        <f>IF(VLOOKUP(BK70,Fundamentus!A:U,15,FALSE)&gt;1,"Bom",IF(VLOOKUP(BK70,Fundamentus!A:U,15,FALSE)&lt;1,"Ruim","n/a"))</f>
        <v>Bom</v>
      </c>
      <c r="FD70" s="20" t="str">
        <f>IF(VLOOKUP(BK70,Fundamentus!A:U,20,FALSE)&lt;0.5,"Baixa",IF(VLOOKUP(BK70,Fundamentus!A:U,20,FALSE)&lt;1,"Moderada",IF(VLOOKUP(BK70,Fundamentus!A:U,20,FALSE)&lt;2,"Alerta",IF(VLOOKUP(BK70,Fundamentus!A:U,20,FALSE)&gt;2,"Alta","n/a"))))</f>
        <v>Moderada</v>
      </c>
      <c r="FE70" s="10"/>
    </row>
    <row r="71" spans="1:161" s="2" customFormat="1" ht="11.25" hidden="1"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8">
        <v>34.33</v>
      </c>
      <c r="BC71" s="62">
        <v>34.22</v>
      </c>
      <c r="BD71" s="62">
        <v>35.4</v>
      </c>
      <c r="BE71" s="62">
        <v>36.729999999999997</v>
      </c>
      <c r="BF71" s="62">
        <v>35.85</v>
      </c>
      <c r="BG71" s="81">
        <v>36.4</v>
      </c>
      <c r="BH71" s="62">
        <v>34.630000000000003</v>
      </c>
      <c r="BI71" s="62">
        <v>34.630000000000003</v>
      </c>
      <c r="BJ71" s="62" cm="1">
        <f t="array" aca="1" ref="BJ71" ca="1">_FV(EH71,"Preço")</f>
        <v>34.9</v>
      </c>
      <c r="BK71" s="83" t="s">
        <v>68</v>
      </c>
      <c r="BL71" s="44" cm="1">
        <f t="array" aca="1" ref="BL71" ca="1">_FV(EH71,"Média de volume",TRUE)</f>
        <v>259660</v>
      </c>
      <c r="BM71" s="44">
        <v>301200</v>
      </c>
      <c r="BN71" s="44" cm="1">
        <f t="array" aca="1" ref="BN71" ca="1">_FV(EH71,"Volume")</f>
        <v>52900</v>
      </c>
      <c r="BO71" s="32" cm="1">
        <f t="array" aca="1" ref="BO71" ca="1">_FV(EH71,"Beta")</f>
        <v>1.1739999999999999</v>
      </c>
      <c r="BP71" s="86" cm="1">
        <f t="array" aca="1" ref="BP71" ca="1">_FV(EH71,"Variação (%)",TRUE)</f>
        <v>7.7969999999999992E-3</v>
      </c>
      <c r="BQ71" s="48"/>
      <c r="BR71" s="48"/>
      <c r="BT71" s="20" cm="1">
        <f t="array" aca="1" ref="BT71" ca="1">_FV(EH71,"Baixo")</f>
        <v>34.200000000000003</v>
      </c>
      <c r="BU71" s="20" cm="1">
        <f t="array" aca="1" ref="BU71" ca="1">_FV(EH71,"Alto")</f>
        <v>34.950000000000003</v>
      </c>
      <c r="BV71" s="32"/>
      <c r="BW71" s="73">
        <f ca="1">SQRT(22.5*(BJ71/VLOOKUP(BK71,Fundamentus!A:U,3,FALSE))*(BJ71/VLOOKUP(BK71,Fundamentus!A:U,4,FALSE)))</f>
        <v>35.567831355551242</v>
      </c>
      <c r="BY71" s="72">
        <f t="shared" ca="1" si="90"/>
        <v>7.7967080565982099E-3</v>
      </c>
      <c r="BZ71" s="8"/>
      <c r="CA71" s="71">
        <f t="shared" si="36"/>
        <v>23.29</v>
      </c>
      <c r="CB71" s="71">
        <f t="shared" si="91"/>
        <v>36.729999999999997</v>
      </c>
      <c r="CC71" s="71">
        <f t="shared" si="37"/>
        <v>29.62540983606559</v>
      </c>
      <c r="CD71" s="17"/>
      <c r="CE71" s="43">
        <f t="shared" ref="CE71:CE134" si="96">CF71-DW71*2</f>
        <v>32.475242737515032</v>
      </c>
      <c r="CF71" s="18">
        <f>FORECAST("04/07/2025", BF71:BI71, $BF$5:$BI$5)</f>
        <v>34.019999999999982</v>
      </c>
      <c r="CG71" s="43">
        <f t="shared" ref="CG71:CG134" si="97">CF71+DW71*2</f>
        <v>35.564757262484932</v>
      </c>
      <c r="CI71" s="17"/>
      <c r="CJ71" s="20">
        <f>CA71-2*(CB71-CM71)</f>
        <v>12.930000000000007</v>
      </c>
      <c r="CK71" s="20">
        <f>CM71-(CB71-CA71)</f>
        <v>18.110000000000003</v>
      </c>
      <c r="CL71" s="20">
        <f>2*CM71-CB71</f>
        <v>26.370000000000005</v>
      </c>
      <c r="CM71" s="48">
        <f>(CB71+CA71+BI71)/3</f>
        <v>31.55</v>
      </c>
      <c r="CN71" s="20">
        <f>2*CM71-CA71</f>
        <v>39.81</v>
      </c>
      <c r="CO71" s="20">
        <f>CM71+(CB71-CA71)</f>
        <v>44.989999999999995</v>
      </c>
      <c r="CP71" s="20">
        <f>CB71+2*(CM71-CA71)</f>
        <v>53.25</v>
      </c>
      <c r="CQ71" s="2" cm="1">
        <f t="array" aca="1" ref="CQ71" ca="1">MAX(_xlfn._xlws.FILTER(CJ71:CP71,CJ71:CP71&lt;BJ71))</f>
        <v>31.55</v>
      </c>
      <c r="CR71" s="2" cm="1">
        <f t="array" aca="1" ref="CR71" ca="1">MIN(_xlfn._xlws.FILTER($CJ71:$CP71,$CJ71:$CP71&gt;BJ71))</f>
        <v>39.81</v>
      </c>
      <c r="CS71" s="19">
        <f t="shared" ca="1" si="72"/>
        <v>0.26180665610142628</v>
      </c>
      <c r="CT71" s="23">
        <f t="shared" ca="1" si="73"/>
        <v>-0.13090332805071314</v>
      </c>
      <c r="CU71" s="23">
        <f t="shared" ca="1" si="74"/>
        <v>-8.7268885367142099E-2</v>
      </c>
      <c r="CV71" s="23">
        <f t="shared" ca="1" si="75"/>
        <v>-5.2361331220285259E-2</v>
      </c>
      <c r="CW71" s="23">
        <f t="shared" ca="1" si="76"/>
        <v>-2.9089628455714032E-2</v>
      </c>
      <c r="CX71" s="23">
        <f t="shared" ca="1" si="77"/>
        <v>-1.5400391535378017E-2</v>
      </c>
      <c r="CY71" s="23">
        <f t="shared" ca="1" si="78"/>
        <v>-7.9335350333765535E-3</v>
      </c>
      <c r="CZ71" s="23">
        <f t="shared" ca="1" si="79"/>
        <v>-4.0277947092527125E-3</v>
      </c>
      <c r="DA71" s="24">
        <f t="shared" ca="1" si="80"/>
        <v>4.0277947092527125E-3</v>
      </c>
      <c r="DB71" s="24">
        <f t="shared" ca="1" si="81"/>
        <v>7.9335350333765535E-3</v>
      </c>
      <c r="DC71" s="24">
        <f t="shared" ca="1" si="82"/>
        <v>1.5400391535378017E-2</v>
      </c>
      <c r="DD71" s="24">
        <f t="shared" ca="1" si="83"/>
        <v>2.9089628455714032E-2</v>
      </c>
      <c r="DE71" s="24">
        <f t="shared" ca="1" si="84"/>
        <v>5.2361331220285259E-2</v>
      </c>
      <c r="DF71" s="24">
        <f t="shared" ca="1" si="85"/>
        <v>8.7268885367142099E-2</v>
      </c>
      <c r="DG71" s="24">
        <f t="shared" ca="1" si="86"/>
        <v>0.13090332805071314</v>
      </c>
      <c r="DI71" s="19" cm="1">
        <f t="array" aca="1" ref="DI71" ca="1">MAX(_xlfn._xlws.FILTER(CT71:DG71,CT71:DG71&lt;BP71))</f>
        <v>4.0277947092527125E-3</v>
      </c>
      <c r="DJ71" s="19" cm="1">
        <f t="array" aca="1" ref="DJ71" ca="1">MIN(_xlfn._xlws.FILTER(CT71:DG71,CT71:DG71&gt;BP71))</f>
        <v>7.9335350333765535E-3</v>
      </c>
      <c r="DK71" s="2" cm="1">
        <f t="array" aca="1" ref="DK71" ca="1">_FV(EH71,"Fechamento anterior",TRUE)</f>
        <v>34.630000000000003</v>
      </c>
      <c r="DL71" s="36">
        <f ca="1">(BJ71-DM71)/(DN71-DM71)</f>
        <v>0.96496772303751222</v>
      </c>
      <c r="DM71" s="18">
        <f t="shared" ca="1" si="87"/>
        <v>34.769482530781424</v>
      </c>
      <c r="DN71" s="18">
        <f t="shared" ca="1" si="88"/>
        <v>34.90473831820583</v>
      </c>
      <c r="DO71" s="9"/>
      <c r="DP71" s="9"/>
      <c r="DQ71" s="93">
        <v>6.6977639250567541E-3</v>
      </c>
      <c r="DR71" s="93">
        <v>1.2279233862604049E-2</v>
      </c>
      <c r="DS71" s="93">
        <v>7.8533421627971205E-3</v>
      </c>
      <c r="DT71" s="93">
        <f t="shared" ca="1" si="92"/>
        <v>3.905740324123841E-3</v>
      </c>
      <c r="DU71" s="87">
        <f ca="1">(BJ71-CF71)/(CF71-CE71)</f>
        <v>0.56966878963521972</v>
      </c>
      <c r="DV71" s="46"/>
      <c r="DW71" s="43">
        <f>_xlfn.STDEV.P(BF71:BI71)</f>
        <v>0.77237863124247397</v>
      </c>
      <c r="DX71" s="76">
        <f ca="1">BO71-$DT$2</f>
        <v>0.17689999999999984</v>
      </c>
      <c r="DY71" s="76">
        <f ca="1">BO71-BP71*100</f>
        <v>0.39429999999999998</v>
      </c>
      <c r="DZ71" s="101"/>
      <c r="EA71" s="100">
        <v>-1.1734999999999998</v>
      </c>
      <c r="EB71" s="107">
        <v>-1.1262999999999996</v>
      </c>
      <c r="EC71" s="107">
        <v>0.84950000000000003</v>
      </c>
      <c r="ED71" s="98">
        <f t="shared" ca="1" si="93"/>
        <v>-0.21740000000000015</v>
      </c>
      <c r="EE71" s="66"/>
      <c r="EF71" s="66"/>
      <c r="EH71" s="2" t="e" vm="71">
        <v>#VALUE!</v>
      </c>
      <c r="EJ71" s="10" cm="1">
        <f t="array" aca="1" ref="EJ71" ca="1">_FV(EH71,"Ações em circulação",TRUE)</f>
        <v>66002920</v>
      </c>
      <c r="EK71" s="21">
        <f>VLOOKUP(BK71,Fundamentus!A:U,5,FALSE)</f>
        <v>1.1220000000000001</v>
      </c>
      <c r="EL71" s="2">
        <f ca="1">(BJ71*EJ71)/EK71</f>
        <v>2053032003.5650623</v>
      </c>
      <c r="EM71" s="20">
        <v>263403358.96994653</v>
      </c>
      <c r="EN71" s="20">
        <f t="shared" ca="1" si="94"/>
        <v>265457038.06096256</v>
      </c>
      <c r="EP71" s="19">
        <f t="shared" ca="1" si="89"/>
        <v>7.7967080565981561E-3</v>
      </c>
      <c r="EQ71" s="55" t="str">
        <f>IF(VLOOKUP(BK71,Fundamentus!A:U,3,FALSE)&lt;15,"Bom",IF(VLOOKUP(BK71,Fundamentus!A:U,3,FALSE)&gt;15,"Ruim","n/a"))</f>
        <v>Bom</v>
      </c>
      <c r="ER71" s="56" t="str">
        <f>IF(VLOOKUP(BK71,Fundamentus!A:U,4,FALSE)&lt;1,"Baixo",IF(VLOOKUP(BK71,Fundamentus!A:U,4,FALSE)&lt;1.5,"Moderado",IF(VLOOKUP(BK71,Fundamentus!A:U,4,FALSE)&gt;1.5,"Alto","n/a")))</f>
        <v>Alto</v>
      </c>
      <c r="ES71" s="38" t="str">
        <f>IF(VLOOKUP(BK71,Fundamentus!A:U,8,FALSE)&lt;0,"Risco elevado",IF(VLOOKUP(BK71,Fundamentus!A:U,8,FALSE)&lt;1,"Saudável",IF(VLOOKUP(BK71,Fundamentus!A:U,8,FALSE)&lt;3,"Estável",IF(VLOOKUP(BK71,Fundamentus!A:U,8,FALSE)&gt;3,"Alerta","n/a"))))</f>
        <v>Alerta</v>
      </c>
      <c r="ET71" s="56" t="str">
        <f t="shared" si="95"/>
        <v>Bom</v>
      </c>
      <c r="EU71" s="38" t="str">
        <f>IF(VLOOKUP(BK71,Fundamentus!A:U,12,FALSE)&lt;2,"Subvalorizada",IF(VLOOKUP(BK71,Fundamentus!A:U,12,FALSE)&lt;6,"Muita barata",IF(VLOOKUP(BK71,Fundamentus!A:U,12,FALSE)&lt;6,"Barata",IF(VLOOKUP(BK71,Fundamentus!A:U,12,FALSE)&lt;8,"Atrativa",IF(VLOOKUP(BK71,Fundamentus!A:U,12,FALSE)&gt;8,"Supervalorizada","n/a")))))</f>
        <v>Muita barata</v>
      </c>
      <c r="EW71" s="38" t="str">
        <f>IF(VLOOKUP(BK71,Fundamentus!A:U,17,FALSE)&lt;0.1,"Fraco retorno",IF(VLOOKUP(BK71,Fundamentus!A:U,17,FALSE)&gt;0.1,"Bom retorno","n/a"))</f>
        <v>Bom retorno</v>
      </c>
      <c r="EX71" s="38" t="str">
        <f>IF(VLOOKUP(BK71,Fundamentus!A:U,16,FALSE)&lt;0.1,"Ineficiente",IF(VLOOKUP(BK71,Fundamentus!A:U,16,FALSE)&gt;0.1,"Eficiente","n/a"))</f>
        <v>Eficiente</v>
      </c>
      <c r="EY71" s="59" t="str">
        <f>IF(VLOOKUP(BK71,Fundamentus!A:U,16,FALSE)&lt;0.1,"Oper. Ineficiente",IF(VLOOKUP(BK71,Fundamentus!A:U,16,FALSE)&gt;0.1,"Oper.Eficiente","n/a"))</f>
        <v>Oper.Eficiente</v>
      </c>
      <c r="EZ71" s="58">
        <f>VLOOKUP(BK71,Fundamentus!A:U,14,FALSE)</f>
        <v>0.1293</v>
      </c>
      <c r="FA71" s="38" t="str">
        <f>IF(VLOOKUP(BK71,Fundamentus!A:U,21,FALSE)&lt;0,"Negativo",IF(VLOOKUP(BK71,Fundamentus!A:U,21,FALSE)&lt;0.05,"Fraco",IF(VLOOKUP(BK71,Fundamentus!A:U,21,FALSE)&lt;0.1,"Bom",IF(VLOOKUP(BK71,Fundamentus!A:U,21,FALSE)&gt;0.1,"Muito bom","n/a"))))</f>
        <v>Muito bom</v>
      </c>
      <c r="FC71" s="39" t="str">
        <f>IF(VLOOKUP(BK71,Fundamentus!A:U,15,FALSE)&gt;1,"Bom",IF(VLOOKUP(BK71,Fundamentus!A:U,15,FALSE)&lt;1,"Ruim","n/a"))</f>
        <v>Bom</v>
      </c>
      <c r="FD71" s="38" t="str">
        <f>IF(VLOOKUP(BK71,Fundamentus!A:U,20,FALSE)&lt;0.5,"Baixa",IF(VLOOKUP(BK71,Fundamentus!A:U,20,FALSE)&lt;1,"Moderada",IF(VLOOKUP(BK71,Fundamentus!A:U,20,FALSE)&lt;2,"Alerta",IF(VLOOKUP(BK71,Fundamentus!A:U,20,FALSE)&gt;2,"Alta","n/a"))))</f>
        <v>Baixa</v>
      </c>
      <c r="FE71" s="10"/>
    </row>
    <row r="72" spans="1:161" s="2" customFormat="1" ht="11.25" hidden="1"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8">
        <v>6.51</v>
      </c>
      <c r="BC72" s="62">
        <v>6.66</v>
      </c>
      <c r="BD72" s="62">
        <v>6.65</v>
      </c>
      <c r="BE72" s="62">
        <v>6.8</v>
      </c>
      <c r="BF72" s="62">
        <v>6.79</v>
      </c>
      <c r="BG72" s="81">
        <v>6.82</v>
      </c>
      <c r="BH72" s="62">
        <v>6.77</v>
      </c>
      <c r="BI72" s="62">
        <v>6.63</v>
      </c>
      <c r="BJ72" s="62" cm="1">
        <f t="array" aca="1" ref="BJ72" ca="1">_FV(EH72,"Preço")</f>
        <v>6.6</v>
      </c>
      <c r="BK72" s="83" t="s">
        <v>69</v>
      </c>
      <c r="BL72" s="44" cm="1">
        <f t="array" aca="1" ref="BL72" ca="1">_FV(EH72,"Média de volume",TRUE)</f>
        <v>1390</v>
      </c>
      <c r="BM72" s="44">
        <v>400</v>
      </c>
      <c r="BN72" s="44" cm="1">
        <f t="array" aca="1" ref="BN72" ca="1">_FV(EH72,"Volume")</f>
        <v>2100</v>
      </c>
      <c r="BO72" s="32" cm="1">
        <f t="array" aca="1" ref="BO72" ca="1">_FV(EH72,"Beta")</f>
        <v>0.21429999999999999</v>
      </c>
      <c r="BP72" s="86" cm="1">
        <f t="array" aca="1" ref="BP72" ca="1">_FV(EH72,"Variação (%)",TRUE)</f>
        <v>-4.5250000000000004E-3</v>
      </c>
      <c r="BQ72" s="48"/>
      <c r="BR72" s="48"/>
      <c r="BT72" s="20" cm="1">
        <f t="array" aca="1" ref="BT72" ca="1">_FV(EH72,"Baixo")</f>
        <v>6.5</v>
      </c>
      <c r="BU72" s="20" cm="1">
        <f t="array" aca="1" ref="BU72" ca="1">_FV(EH72,"Alto")</f>
        <v>6.67</v>
      </c>
      <c r="BV72" s="32"/>
      <c r="BW72" s="73">
        <f ca="1">SQRT(22.5*(BJ72/VLOOKUP(BK72,Fundamentus!A:U,3,FALSE))*(BJ72/VLOOKUP(BK72,Fundamentus!A:U,4,FALSE)))</f>
        <v>5.1119018199820969</v>
      </c>
      <c r="BY72" s="72">
        <f t="shared" ca="1" si="90"/>
        <v>-4.524886877828092E-3</v>
      </c>
      <c r="BZ72" s="8"/>
      <c r="CA72" s="71">
        <f t="shared" si="36"/>
        <v>6.24</v>
      </c>
      <c r="CB72" s="71">
        <f t="shared" si="91"/>
        <v>7</v>
      </c>
      <c r="CC72" s="71">
        <f t="shared" si="37"/>
        <v>6.6870491803278673</v>
      </c>
      <c r="CD72" s="17"/>
      <c r="CE72" s="43">
        <f t="shared" si="96"/>
        <v>6.4741404785418561</v>
      </c>
      <c r="CF72" s="18">
        <f>FORECAST("04/07/2025", BF72:BI72, $BF$5:$BI$5)</f>
        <v>6.6200000000000045</v>
      </c>
      <c r="CG72" s="43">
        <f t="shared" si="97"/>
        <v>6.7658595214581529</v>
      </c>
      <c r="CI72" s="17"/>
      <c r="CJ72" s="20">
        <f>CA72-2*(CB72-CM72)</f>
        <v>5.4866666666666681</v>
      </c>
      <c r="CK72" s="20">
        <f>CM72-(CB72-CA72)</f>
        <v>5.8633333333333342</v>
      </c>
      <c r="CL72" s="20">
        <f>2*CM72-CB72</f>
        <v>6.2466666666666679</v>
      </c>
      <c r="CM72" s="48">
        <f>(CB72+CA72+BI72)/3</f>
        <v>6.623333333333334</v>
      </c>
      <c r="CN72" s="20">
        <f>2*CM72-CA72</f>
        <v>7.0066666666666677</v>
      </c>
      <c r="CO72" s="20">
        <f>CM72+(CB72-CA72)</f>
        <v>7.3833333333333337</v>
      </c>
      <c r="CP72" s="20">
        <f>CB72+2*(CM72-CA72)</f>
        <v>7.7666666666666675</v>
      </c>
      <c r="CQ72" s="2" cm="1">
        <f t="array" aca="1" ref="CQ72" ca="1">MAX(_xlfn._xlws.FILTER(CJ72:CP72,CJ72:CP72&lt;BJ72))</f>
        <v>6.2466666666666679</v>
      </c>
      <c r="CR72" s="2" cm="1">
        <f t="array" aca="1" ref="CR72" ca="1">MIN(_xlfn._xlws.FILTER($CJ72:$CP72,$CJ72:$CP72&gt;BJ72))</f>
        <v>6.623333333333334</v>
      </c>
      <c r="CS72" s="19">
        <f t="shared" ca="1" si="72"/>
        <v>6.0298826040554809E-2</v>
      </c>
      <c r="CT72" s="23">
        <f t="shared" ca="1" si="73"/>
        <v>-3.0149413020277405E-2</v>
      </c>
      <c r="CU72" s="23">
        <f t="shared" ca="1" si="74"/>
        <v>-2.0099608680184938E-2</v>
      </c>
      <c r="CV72" s="23">
        <f t="shared" ca="1" si="75"/>
        <v>-1.2059765208110963E-2</v>
      </c>
      <c r="CW72" s="23">
        <f t="shared" ca="1" si="76"/>
        <v>-6.6998695600616453E-3</v>
      </c>
      <c r="CX72" s="23">
        <f t="shared" ca="1" si="77"/>
        <v>-3.5469897670914593E-3</v>
      </c>
      <c r="CY72" s="23">
        <f t="shared" ca="1" si="78"/>
        <v>-1.8272371527440852E-3</v>
      </c>
      <c r="CZ72" s="23">
        <f t="shared" ca="1" si="79"/>
        <v>-9.2767424677776627E-4</v>
      </c>
      <c r="DA72" s="24">
        <f t="shared" ca="1" si="80"/>
        <v>9.2767424677776627E-4</v>
      </c>
      <c r="DB72" s="24">
        <f t="shared" ca="1" si="81"/>
        <v>1.8272371527440852E-3</v>
      </c>
      <c r="DC72" s="24">
        <f t="shared" ca="1" si="82"/>
        <v>3.5469897670914593E-3</v>
      </c>
      <c r="DD72" s="24">
        <f t="shared" ca="1" si="83"/>
        <v>6.6998695600616453E-3</v>
      </c>
      <c r="DE72" s="24">
        <f t="shared" ca="1" si="84"/>
        <v>1.2059765208110963E-2</v>
      </c>
      <c r="DF72" s="24">
        <f t="shared" ca="1" si="85"/>
        <v>2.0099608680184938E-2</v>
      </c>
      <c r="DG72" s="24">
        <f t="shared" ca="1" si="86"/>
        <v>3.0149413020277405E-2</v>
      </c>
      <c r="DI72" s="19" cm="1">
        <f t="array" aca="1" ref="DI72" ca="1">MAX(_xlfn._xlws.FILTER(CT72:DG72,CT72:DG72&lt;BP72))</f>
        <v>-6.6998695600616453E-3</v>
      </c>
      <c r="DJ72" s="19" cm="1">
        <f t="array" aca="1" ref="DJ72" ca="1">MIN(_xlfn._xlws.FILTER(CT72:DG72,CT72:DG72&gt;BP72))</f>
        <v>-3.5469897670914593E-3</v>
      </c>
      <c r="DK72" s="2" cm="1">
        <f t="array" aca="1" ref="DK72" ca="1">_FV(EH72,"Fechamento anterior",TRUE)</f>
        <v>6.63</v>
      </c>
      <c r="DL72" s="36">
        <f ca="1">(BJ72-DM72)/(DN72-DM72)</f>
        <v>0.68984002722937754</v>
      </c>
      <c r="DM72" s="18">
        <f t="shared" ca="1" si="87"/>
        <v>6.5855798648167916</v>
      </c>
      <c r="DN72" s="18">
        <f t="shared" ca="1" si="88"/>
        <v>6.6064834578441838</v>
      </c>
      <c r="DO72" s="9"/>
      <c r="DP72" s="9"/>
      <c r="DQ72" s="94">
        <v>9.0924174547867935E-3</v>
      </c>
      <c r="DR72" s="94">
        <v>1.0173334215146062E-3</v>
      </c>
      <c r="DS72" s="94">
        <v>9.9654416703270367E-4</v>
      </c>
      <c r="DT72" s="94">
        <f t="shared" ca="1" si="92"/>
        <v>3.152879792970186E-3</v>
      </c>
      <c r="DU72" s="87">
        <f ca="1">(BJ72-CF72)/(CF72-CE72)</f>
        <v>-0.13711823403824563</v>
      </c>
      <c r="DV72" s="46"/>
      <c r="DW72" s="43">
        <f>_xlfn.STDEV.P(BF72:BI72)</f>
        <v>7.29297607290742E-2</v>
      </c>
      <c r="DX72" s="76">
        <f ca="1">BO72-$DT$2</f>
        <v>-0.78280000000000016</v>
      </c>
      <c r="DY72" s="76">
        <f ca="1">BO72-BP72*100</f>
        <v>0.66680000000000006</v>
      </c>
      <c r="DZ72" s="101"/>
      <c r="EA72" s="100">
        <v>-0.87090000000000001</v>
      </c>
      <c r="EB72" s="107">
        <v>1.3898000000000001</v>
      </c>
      <c r="EC72" s="107">
        <v>-0.41880000000000006</v>
      </c>
      <c r="ED72" s="98">
        <f t="shared" ca="1" si="93"/>
        <v>-1.4496000000000002</v>
      </c>
      <c r="EE72" s="66"/>
      <c r="EF72" s="66"/>
      <c r="EH72" s="2" t="e" vm="72">
        <v>#VALUE!</v>
      </c>
      <c r="EJ72" s="10" cm="1">
        <f t="array" aca="1" ref="EJ72" ca="1">_FV(EH72,"Ações em circulação",TRUE)</f>
        <v>2110323000</v>
      </c>
      <c r="EK72" s="21">
        <f>VLOOKUP(BK72,Fundamentus!A:U,5,FALSE)</f>
        <v>0.79600000000000004</v>
      </c>
      <c r="EL72" s="2">
        <f ca="1">(BJ72*EJ72)/EK72</f>
        <v>17497653015.075375</v>
      </c>
      <c r="EM72" s="20">
        <v>1768265092.8316581</v>
      </c>
      <c r="EN72" s="20">
        <f t="shared" ca="1" si="94"/>
        <v>1760263893.3165827</v>
      </c>
      <c r="EP72" s="19">
        <f t="shared" ca="1" si="89"/>
        <v>-4.5248868778280382E-3</v>
      </c>
      <c r="EQ72" s="40" t="str">
        <f>IF(VLOOKUP(BK72,Fundamentus!A:U,3,FALSE)&lt;15,"Bom",IF(VLOOKUP(BK72,Fundamentus!A:U,3,FALSE)&gt;15,"Ruim","n/a"))</f>
        <v>Bom</v>
      </c>
      <c r="ER72" s="36" t="str">
        <f>IF(VLOOKUP(BK72,Fundamentus!A:U,4,FALSE)&lt;1,"Baixo",IF(VLOOKUP(BK72,Fundamentus!A:U,4,FALSE)&lt;1.5,"Moderado",IF(VLOOKUP(BK72,Fundamentus!A:U,4,FALSE)&gt;1.5,"Alto","n/a")))</f>
        <v>Alto</v>
      </c>
      <c r="ES72" s="20" t="str">
        <f>IF(VLOOKUP(BK72,Fundamentus!A:U,8,FALSE)&lt;0,"Risco elevado",IF(VLOOKUP(BK72,Fundamentus!A:U,8,FALSE)&lt;1,"Saudável",IF(VLOOKUP(BK72,Fundamentus!A:U,8,FALSE)&lt;3,"Estável",IF(VLOOKUP(BK72,Fundamentus!A:U,8,FALSE)&gt;3,"Alerta","n/a"))))</f>
        <v>Alerta</v>
      </c>
      <c r="ET72" s="36" t="str">
        <f t="shared" si="95"/>
        <v>Ruim</v>
      </c>
      <c r="EU72" s="20" t="str">
        <f>IF(VLOOKUP(BK72,Fundamentus!A:U,12,FALSE)&lt;2,"Subvalorizada",IF(VLOOKUP(BK72,Fundamentus!A:U,12,FALSE)&lt;6,"Muita barata",IF(VLOOKUP(BK72,Fundamentus!A:U,12,FALSE)&lt;6,"Barata",IF(VLOOKUP(BK72,Fundamentus!A:U,12,FALSE)&lt;8,"Atrativa",IF(VLOOKUP(BK72,Fundamentus!A:U,12,FALSE)&gt;8,"Supervalorizada","n/a")))))</f>
        <v>Atrativa</v>
      </c>
      <c r="EW72" s="20" t="str">
        <f>IF(VLOOKUP(BK72,Fundamentus!A:U,17,FALSE)&lt;0.1,"Fraco retorno",IF(VLOOKUP(BK72,Fundamentus!A:U,17,FALSE)&gt;0.1,"Bom retorno","n/a"))</f>
        <v>Bom retorno</v>
      </c>
      <c r="EX72" s="20" t="str">
        <f>IF(VLOOKUP(BK72,Fundamentus!A:U,16,FALSE)&lt;0.1,"Ineficiente",IF(VLOOKUP(BK72,Fundamentus!A:U,16,FALSE)&gt;0.1,"Eficiente","n/a"))</f>
        <v>Eficiente</v>
      </c>
      <c r="EY72" s="41" t="str">
        <f>IF(VLOOKUP(BK72,Fundamentus!A:U,16,FALSE)&lt;0.1,"Oper. Ineficiente",IF(VLOOKUP(BK72,Fundamentus!A:U,16,FALSE)&gt;0.1,"Oper.Eficiente","n/a"))</f>
        <v>Oper.Eficiente</v>
      </c>
      <c r="EZ72" s="42">
        <f>VLOOKUP(BK72,Fundamentus!A:U,14,FALSE)</f>
        <v>0.10059999999999999</v>
      </c>
      <c r="FA72" s="20" t="str">
        <f>IF(VLOOKUP(BK72,Fundamentus!A:U,21,FALSE)&lt;0,"Negativo",IF(VLOOKUP(BK72,Fundamentus!A:U,21,FALSE)&lt;0.05,"Fraco",IF(VLOOKUP(BK72,Fundamentus!A:U,21,FALSE)&lt;0.1,"Bom",IF(VLOOKUP(BK72,Fundamentus!A:U,21,FALSE)&gt;0.1,"Muito bom","n/a"))))</f>
        <v>Bom</v>
      </c>
      <c r="FC72" s="37" t="str">
        <f>IF(VLOOKUP(BK72,Fundamentus!A:U,15,FALSE)&gt;1,"Bom",IF(VLOOKUP(BK72,Fundamentus!A:U,15,FALSE)&lt;1,"Ruim","n/a"))</f>
        <v>Bom</v>
      </c>
      <c r="FD72" s="20" t="str">
        <f>IF(VLOOKUP(BK72,Fundamentus!A:U,20,FALSE)&lt;0.5,"Baixa",IF(VLOOKUP(BK72,Fundamentus!A:U,20,FALSE)&lt;1,"Moderada",IF(VLOOKUP(BK72,Fundamentus!A:U,20,FALSE)&lt;2,"Alerta",IF(VLOOKUP(BK72,Fundamentus!A:U,20,FALSE)&gt;2,"Alta","n/a"))))</f>
        <v>Alta</v>
      </c>
      <c r="FE72" s="10"/>
    </row>
    <row r="73" spans="1:161" s="2" customFormat="1" ht="11.25" hidden="1"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8">
        <v>0.89</v>
      </c>
      <c r="BC73" s="62">
        <v>0.94</v>
      </c>
      <c r="BD73" s="62">
        <v>0.85</v>
      </c>
      <c r="BE73" s="62">
        <v>0.85</v>
      </c>
      <c r="BF73" s="62">
        <v>1.3</v>
      </c>
      <c r="BG73" s="81">
        <v>1.1599999999999999</v>
      </c>
      <c r="BH73" s="62">
        <v>1.1200000000000001</v>
      </c>
      <c r="BI73" s="62">
        <v>0.91</v>
      </c>
      <c r="BJ73" s="62" cm="1">
        <f t="array" aca="1" ref="BJ73" ca="1">_FV(EH73,"Preço")</f>
        <v>0.86</v>
      </c>
      <c r="BK73" s="83" t="s">
        <v>70</v>
      </c>
      <c r="BL73" s="44" cm="1">
        <f t="array" aca="1" ref="BL73" ca="1">_FV(EH73,"Média de volume",TRUE)</f>
        <v>55880</v>
      </c>
      <c r="BM73" s="44">
        <v>94000</v>
      </c>
      <c r="BN73" s="44" cm="1">
        <f t="array" aca="1" ref="BN73" ca="1">_FV(EH73,"Volume")</f>
        <v>61900</v>
      </c>
      <c r="BO73" s="32" cm="1">
        <f t="array" aca="1" ref="BO73" ca="1">_FV(EH73,"Beta")</f>
        <v>1.3413999999999999</v>
      </c>
      <c r="BP73" s="86" cm="1">
        <f t="array" aca="1" ref="BP73" ca="1">_FV(EH73,"Variação (%)",TRUE)</f>
        <v>-5.4945000000000001E-2</v>
      </c>
      <c r="BQ73" s="48"/>
      <c r="BR73" s="48"/>
      <c r="BT73" s="20" cm="1">
        <f t="array" aca="1" ref="BT73" ca="1">_FV(EH73,"Baixo")</f>
        <v>0.84</v>
      </c>
      <c r="BU73" s="20" cm="1">
        <f t="array" aca="1" ref="BU73" ca="1">_FV(EH73,"Alto")</f>
        <v>0.92</v>
      </c>
      <c r="BV73" s="32"/>
      <c r="BW73" s="73" t="e">
        <f ca="1">SQRT(22.5*(BJ73/VLOOKUP(BK73,Fundamentus!A:U,3,FALSE))*(BJ73/VLOOKUP(BK73,Fundamentus!A:U,4,FALSE)))</f>
        <v>#NUM!</v>
      </c>
      <c r="BY73" s="72">
        <f t="shared" ca="1" si="90"/>
        <v>-5.4945054945054993E-2</v>
      </c>
      <c r="BZ73" s="8"/>
      <c r="CA73" s="71">
        <f t="shared" si="36"/>
        <v>0.84</v>
      </c>
      <c r="CB73" s="71">
        <f t="shared" si="91"/>
        <v>1.3</v>
      </c>
      <c r="CC73" s="71">
        <f t="shared" si="37"/>
        <v>0.97549180327868823</v>
      </c>
      <c r="CD73" s="17"/>
      <c r="CE73" s="43">
        <f t="shared" si="96"/>
        <v>0.5405809598469804</v>
      </c>
      <c r="CF73" s="18">
        <f>FORECAST("04/07/2025", BF73:BI73, $BF$5:$BI$5)</f>
        <v>0.81999999999993634</v>
      </c>
      <c r="CG73" s="43">
        <f t="shared" si="97"/>
        <v>1.0994190401528923</v>
      </c>
      <c r="CI73" s="17"/>
      <c r="CJ73" s="20">
        <f>CA73-2*(CB73-CM73)</f>
        <v>0.27333333333333354</v>
      </c>
      <c r="CK73" s="20">
        <f>CM73-(CB73-CA73)</f>
        <v>0.55666666666666675</v>
      </c>
      <c r="CL73" s="20">
        <f>2*CM73-CB73</f>
        <v>0.73333333333333361</v>
      </c>
      <c r="CM73" s="48">
        <f>(CB73+CA73+BI73)/3</f>
        <v>1.0166666666666668</v>
      </c>
      <c r="CN73" s="20">
        <f>2*CM73-CA73</f>
        <v>1.1933333333333338</v>
      </c>
      <c r="CO73" s="20">
        <f>CM73+(CB73-CA73)</f>
        <v>1.476666666666667</v>
      </c>
      <c r="CP73" s="20">
        <f>CB73+2*(CM73-CA73)</f>
        <v>1.6533333333333338</v>
      </c>
      <c r="CQ73" s="2" cm="1">
        <f t="array" aca="1" ref="CQ73" ca="1">MAX(_xlfn._xlws.FILTER(CJ73:CP73,CJ73:CP73&lt;BJ73))</f>
        <v>0.73333333333333361</v>
      </c>
      <c r="CR73" s="2" cm="1">
        <f t="array" aca="1" ref="CR73" ca="1">MIN(_xlfn._xlws.FILTER($CJ73:$CP73,$CJ73:$CP73&gt;BJ73))</f>
        <v>1.0166666666666668</v>
      </c>
      <c r="CS73" s="19">
        <f t="shared" ca="1" si="72"/>
        <v>0.38636363636363602</v>
      </c>
      <c r="CT73" s="23">
        <f t="shared" ca="1" si="73"/>
        <v>-0.19318181818181801</v>
      </c>
      <c r="CU73" s="23">
        <f t="shared" ca="1" si="74"/>
        <v>-0.12878787878787867</v>
      </c>
      <c r="CV73" s="23">
        <f t="shared" ca="1" si="75"/>
        <v>-7.7272727272727201E-2</v>
      </c>
      <c r="CW73" s="23">
        <f t="shared" ca="1" si="76"/>
        <v>-4.2929292929292893E-2</v>
      </c>
      <c r="CX73" s="23">
        <f t="shared" ca="1" si="77"/>
        <v>-2.2727272727272707E-2</v>
      </c>
      <c r="CY73" s="23">
        <f t="shared" ca="1" si="78"/>
        <v>-1.1707988980716243E-2</v>
      </c>
      <c r="CZ73" s="23">
        <f t="shared" ca="1" si="79"/>
        <v>-5.9440559440559386E-3</v>
      </c>
      <c r="DA73" s="24">
        <f t="shared" ca="1" si="80"/>
        <v>5.9440559440559386E-3</v>
      </c>
      <c r="DB73" s="24">
        <f t="shared" ca="1" si="81"/>
        <v>1.1707988980716243E-2</v>
      </c>
      <c r="DC73" s="24">
        <f t="shared" ca="1" si="82"/>
        <v>2.2727272727272707E-2</v>
      </c>
      <c r="DD73" s="24">
        <f t="shared" ca="1" si="83"/>
        <v>4.2929292929292893E-2</v>
      </c>
      <c r="DE73" s="24">
        <f t="shared" ca="1" si="84"/>
        <v>7.7272727272727201E-2</v>
      </c>
      <c r="DF73" s="24">
        <f t="shared" ca="1" si="85"/>
        <v>0.12878787878787867</v>
      </c>
      <c r="DG73" s="24">
        <f t="shared" ca="1" si="86"/>
        <v>0.19318181818181801</v>
      </c>
      <c r="DI73" s="19" cm="1">
        <f t="array" aca="1" ref="DI73" ca="1">MAX(_xlfn._xlws.FILTER(CT73:DG73,CT73:DG73&lt;BP73))</f>
        <v>-7.7272727272727201E-2</v>
      </c>
      <c r="DJ73" s="19" cm="1">
        <f t="array" aca="1" ref="DJ73" ca="1">MIN(_xlfn._xlws.FILTER(CT73:DG73,CT73:DG73&gt;BP73))</f>
        <v>-4.2929292929292893E-2</v>
      </c>
      <c r="DK73" s="2" cm="1">
        <f t="array" aca="1" ref="DK73" ca="1">_FV(EH73,"Fechamento anterior",TRUE)</f>
        <v>0.91</v>
      </c>
      <c r="DL73" s="36">
        <f ca="1">(BJ73-DM73)/(DN73-DM73)</f>
        <v>0.65012928248222035</v>
      </c>
      <c r="DM73" s="18">
        <f t="shared" ca="1" si="87"/>
        <v>0.83968181818181831</v>
      </c>
      <c r="DN73" s="18">
        <f t="shared" ca="1" si="88"/>
        <v>0.87093434343434351</v>
      </c>
      <c r="DO73" s="9"/>
      <c r="DP73" s="9"/>
      <c r="DQ73" s="94">
        <v>8.3184789067141957E-3</v>
      </c>
      <c r="DR73" s="94">
        <v>2.059620596205964E-2</v>
      </c>
      <c r="DS73" s="94">
        <v>1.235888294711824E-2</v>
      </c>
      <c r="DT73" s="94">
        <f t="shared" ca="1" si="92"/>
        <v>3.4343434343434308E-2</v>
      </c>
      <c r="DU73" s="87">
        <f ca="1">(BJ73-CF73)/(CF73-CE73)</f>
        <v>0.14315416722556693</v>
      </c>
      <c r="DV73" s="46"/>
      <c r="DW73" s="43">
        <f>_xlfn.STDEV.P(BF73:BI73)</f>
        <v>0.13970952007647799</v>
      </c>
      <c r="DX73" s="76">
        <f ca="1">BO73-$DT$2</f>
        <v>0.34429999999999983</v>
      </c>
      <c r="DY73" s="76">
        <f ca="1">BO73-BP73*100</f>
        <v>6.8359000000000005</v>
      </c>
      <c r="DZ73" s="101"/>
      <c r="EA73" s="100">
        <v>3.0014000000000003</v>
      </c>
      <c r="EB73" s="107">
        <v>-0.51249999999999973</v>
      </c>
      <c r="EC73" s="107">
        <v>1.292</v>
      </c>
      <c r="ED73" s="98">
        <f t="shared" ca="1" si="93"/>
        <v>-6.4916000000000009</v>
      </c>
      <c r="EE73" s="66"/>
      <c r="EF73" s="66"/>
      <c r="EH73" s="2" t="e" vm="73">
        <v>#VALUE!</v>
      </c>
      <c r="EJ73" s="10" cm="1">
        <f t="array" aca="1" ref="EJ73" ca="1">_FV(EH73,"Ações em circulação",TRUE)</f>
        <v>124061300</v>
      </c>
      <c r="EK73" s="21">
        <f>VLOOKUP(BK73,Fundamentus!A:U,5,FALSE)</f>
        <v>1.4359999999999999</v>
      </c>
      <c r="EL73" s="2">
        <f ca="1">(BJ73*EJ73)/EK73</f>
        <v>74298550.139275774</v>
      </c>
      <c r="EM73" s="20">
        <v>-29458252.012604453</v>
      </c>
      <c r="EN73" s="20">
        <f t="shared" ca="1" si="94"/>
        <v>-27839666.737186629</v>
      </c>
      <c r="EP73" s="19">
        <f t="shared" ca="1" si="89"/>
        <v>-5.4945054945054861E-2</v>
      </c>
      <c r="EQ73" s="40" t="str">
        <f>IF(VLOOKUP(BK73,Fundamentus!A:U,3,FALSE)&lt;15,"Bom",IF(VLOOKUP(BK73,Fundamentus!A:U,3,FALSE)&gt;15,"Ruim","n/a"))</f>
        <v>Bom</v>
      </c>
      <c r="ER73" s="36" t="str">
        <f>IF(VLOOKUP(BK73,Fundamentus!A:U,4,FALSE)&lt;1,"Baixo",IF(VLOOKUP(BK73,Fundamentus!A:U,4,FALSE)&lt;1.5,"Moderado",IF(VLOOKUP(BK73,Fundamentus!A:U,4,FALSE)&gt;1.5,"Alto","n/a")))</f>
        <v>Baixo</v>
      </c>
      <c r="ES73" s="20" t="str">
        <f>IF(VLOOKUP(BK73,Fundamentus!A:U,8,FALSE)&lt;0,"Risco elevado",IF(VLOOKUP(BK73,Fundamentus!A:U,8,FALSE)&lt;1,"Saudável",IF(VLOOKUP(BK73,Fundamentus!A:U,8,FALSE)&lt;3,"Estável",IF(VLOOKUP(BK73,Fundamentus!A:U,8,FALSE)&gt;3,"Alerta","n/a"))))</f>
        <v>Risco elevado</v>
      </c>
      <c r="ET73" s="36" t="str">
        <f t="shared" si="95"/>
        <v>Bom</v>
      </c>
      <c r="EU73" s="20" t="str">
        <f>IF(VLOOKUP(BK73,Fundamentus!A:U,12,FALSE)&lt;2,"Subvalorizada",IF(VLOOKUP(BK73,Fundamentus!A:U,12,FALSE)&lt;6,"Muita barata",IF(VLOOKUP(BK73,Fundamentus!A:U,12,FALSE)&lt;6,"Barata",IF(VLOOKUP(BK73,Fundamentus!A:U,12,FALSE)&lt;8,"Atrativa",IF(VLOOKUP(BK73,Fundamentus!A:U,12,FALSE)&gt;8,"Supervalorizada","n/a")))))</f>
        <v>Supervalorizada</v>
      </c>
      <c r="EW73" s="20" t="str">
        <f>IF(VLOOKUP(BK73,Fundamentus!A:U,17,FALSE)&lt;0.1,"Fraco retorno",IF(VLOOKUP(BK73,Fundamentus!A:U,17,FALSE)&gt;0.1,"Bom retorno","n/a"))</f>
        <v>Fraco retorno</v>
      </c>
      <c r="EX73" s="20" t="str">
        <f>IF(VLOOKUP(BK73,Fundamentus!A:U,16,FALSE)&lt;0.1,"Ineficiente",IF(VLOOKUP(BK73,Fundamentus!A:U,16,FALSE)&gt;0.1,"Eficiente","n/a"))</f>
        <v>Ineficiente</v>
      </c>
      <c r="EY73" s="41" t="str">
        <f>IF(VLOOKUP(BK73,Fundamentus!A:U,16,FALSE)&lt;0.1,"Oper. Ineficiente",IF(VLOOKUP(BK73,Fundamentus!A:U,16,FALSE)&gt;0.1,"Oper.Eficiente","n/a"))</f>
        <v>Oper. Ineficiente</v>
      </c>
      <c r="EZ73" s="42">
        <f>VLOOKUP(BK73,Fundamentus!A:U,14,FALSE)</f>
        <v>-0.37469999999999998</v>
      </c>
      <c r="FA73" s="20" t="str">
        <f>IF(VLOOKUP(BK73,Fundamentus!A:U,21,FALSE)&lt;0,"Negativo",IF(VLOOKUP(BK73,Fundamentus!A:U,21,FALSE)&lt;0.05,"Fraco",IF(VLOOKUP(BK73,Fundamentus!A:U,21,FALSE)&lt;0.1,"Bom",IF(VLOOKUP(BK73,Fundamentus!A:U,21,FALSE)&gt;0.1,"Muito bom","n/a"))))</f>
        <v>Muito bom</v>
      </c>
      <c r="FC73" s="37" t="str">
        <f>IF(VLOOKUP(BK73,Fundamentus!A:U,15,FALSE)&gt;1,"Bom",IF(VLOOKUP(BK73,Fundamentus!A:U,15,FALSE)&lt;1,"Ruim","n/a"))</f>
        <v>Ruim</v>
      </c>
      <c r="FD73" s="20" t="str">
        <f>IF(VLOOKUP(BK73,Fundamentus!A:U,20,FALSE)&lt;0.5,"Baixa",IF(VLOOKUP(BK73,Fundamentus!A:U,20,FALSE)&lt;1,"Moderada",IF(VLOOKUP(BK73,Fundamentus!A:U,20,FALSE)&lt;2,"Alerta",IF(VLOOKUP(BK73,Fundamentus!A:U,20,FALSE)&gt;2,"Alta","n/a"))))</f>
        <v>Alerta</v>
      </c>
      <c r="FE73" s="10"/>
    </row>
    <row r="74" spans="1:161" s="2" customFormat="1" ht="11.25" hidden="1"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8">
        <v>2.21</v>
      </c>
      <c r="BC74" s="62">
        <v>2.2200000000000002</v>
      </c>
      <c r="BD74" s="62">
        <v>2.2400000000000002</v>
      </c>
      <c r="BE74" s="62">
        <v>2.37</v>
      </c>
      <c r="BF74" s="62">
        <v>2.54</v>
      </c>
      <c r="BG74" s="81">
        <v>2.31</v>
      </c>
      <c r="BH74" s="62">
        <v>2.29</v>
      </c>
      <c r="BI74" s="62">
        <v>2.35</v>
      </c>
      <c r="BJ74" s="62" cm="1">
        <f t="array" aca="1" ref="BJ74" ca="1">_FV(EH74,"Preço")</f>
        <v>2.37</v>
      </c>
      <c r="BK74" s="83" t="s">
        <v>71</v>
      </c>
      <c r="BL74" s="44" cm="1">
        <f t="array" aca="1" ref="BL74" ca="1">_FV(EH74,"Média de volume",TRUE)</f>
        <v>12095440</v>
      </c>
      <c r="BM74" s="44">
        <v>8066800</v>
      </c>
      <c r="BN74" s="44" cm="1">
        <f t="array" aca="1" ref="BN74" ca="1">_FV(EH74,"Volume")</f>
        <v>3824100</v>
      </c>
      <c r="BO74" s="32" cm="1">
        <f t="array" aca="1" ref="BO74" ca="1">_FV(EH74,"Beta")</f>
        <v>2.5156999999999998</v>
      </c>
      <c r="BP74" s="86" cm="1">
        <f t="array" aca="1" ref="BP74" ca="1">_FV(EH74,"Variação (%)",TRUE)</f>
        <v>8.5109999999999995E-3</v>
      </c>
      <c r="BQ74" s="48"/>
      <c r="BR74" s="48"/>
      <c r="BT74" s="20" cm="1">
        <f t="array" aca="1" ref="BT74" ca="1">_FV(EH74,"Baixo")</f>
        <v>2.33</v>
      </c>
      <c r="BU74" s="20" cm="1">
        <f t="array" aca="1" ref="BU74" ca="1">_FV(EH74,"Alto")</f>
        <v>2.39</v>
      </c>
      <c r="BV74" s="32"/>
      <c r="BW74" s="73" t="e">
        <f ca="1">SQRT(22.5*(BJ74/VLOOKUP(BK74,Fundamentus!A:U,3,FALSE))*(BJ74/VLOOKUP(BK74,Fundamentus!A:U,4,FALSE)))</f>
        <v>#NUM!</v>
      </c>
      <c r="BY74" s="72">
        <f t="shared" ca="1" si="90"/>
        <v>8.5106382978723475E-3</v>
      </c>
      <c r="BZ74" s="8"/>
      <c r="CA74" s="71">
        <f t="shared" si="36"/>
        <v>1.4</v>
      </c>
      <c r="CB74" s="71">
        <f t="shared" si="91"/>
        <v>2.54</v>
      </c>
      <c r="CC74" s="71">
        <f t="shared" si="37"/>
        <v>2.0213114754098358</v>
      </c>
      <c r="CD74" s="17"/>
      <c r="CE74" s="43">
        <f t="shared" si="96"/>
        <v>2.0268207881739588</v>
      </c>
      <c r="CF74" s="18">
        <f>FORECAST("04/07/2025", BF74:BI74, $BF$5:$BI$5)</f>
        <v>2.2250000000000227</v>
      </c>
      <c r="CG74" s="43">
        <f t="shared" si="97"/>
        <v>2.4231792118260866</v>
      </c>
      <c r="CI74" s="17"/>
      <c r="CJ74" s="20">
        <f>CA74-2*(CB74-CM74)</f>
        <v>0.5133333333333332</v>
      </c>
      <c r="CK74" s="20">
        <f>CM74-(CB74-CA74)</f>
        <v>0.95666666666666655</v>
      </c>
      <c r="CL74" s="20">
        <f>2*CM74-CB74</f>
        <v>1.6533333333333333</v>
      </c>
      <c r="CM74" s="48">
        <f>(CB74+CA74+BI74)/3</f>
        <v>2.0966666666666667</v>
      </c>
      <c r="CN74" s="20">
        <f>2*CM74-CA74</f>
        <v>2.7933333333333334</v>
      </c>
      <c r="CO74" s="20">
        <f>CM74+(CB74-CA74)</f>
        <v>3.2366666666666668</v>
      </c>
      <c r="CP74" s="20">
        <f>CB74+2*(CM74-CA74)</f>
        <v>3.9333333333333336</v>
      </c>
      <c r="CQ74" s="2" cm="1">
        <f t="array" aca="1" ref="CQ74" ca="1">MAX(_xlfn._xlws.FILTER(CJ74:CP74,CJ74:CP74&lt;BJ74))</f>
        <v>2.0966666666666667</v>
      </c>
      <c r="CR74" s="2" cm="1">
        <f t="array" aca="1" ref="CR74" ca="1">MIN(_xlfn._xlws.FILTER($CJ74:$CP74,$CJ74:$CP74&gt;BJ74))</f>
        <v>2.7933333333333334</v>
      </c>
      <c r="CS74" s="19">
        <f t="shared" ca="1" si="72"/>
        <v>0.33227344992050889</v>
      </c>
      <c r="CT74" s="23">
        <f t="shared" ca="1" si="73"/>
        <v>-0.16613672496025444</v>
      </c>
      <c r="CU74" s="23">
        <f t="shared" ca="1" si="74"/>
        <v>-0.11075781664016963</v>
      </c>
      <c r="CV74" s="23">
        <f t="shared" ca="1" si="75"/>
        <v>-6.6454689984101784E-2</v>
      </c>
      <c r="CW74" s="23">
        <f t="shared" ca="1" si="76"/>
        <v>-3.6919272213389878E-2</v>
      </c>
      <c r="CX74" s="23">
        <f t="shared" ca="1" si="77"/>
        <v>-1.9545497054147581E-2</v>
      </c>
      <c r="CY74" s="23">
        <f t="shared" ca="1" si="78"/>
        <v>-1.0068892421833602E-2</v>
      </c>
      <c r="CZ74" s="23">
        <f t="shared" ca="1" si="79"/>
        <v>-5.1118992295462904E-3</v>
      </c>
      <c r="DA74" s="24">
        <f t="shared" ca="1" si="80"/>
        <v>5.1118992295462904E-3</v>
      </c>
      <c r="DB74" s="24">
        <f t="shared" ca="1" si="81"/>
        <v>1.0068892421833602E-2</v>
      </c>
      <c r="DC74" s="24">
        <f t="shared" ca="1" si="82"/>
        <v>1.9545497054147581E-2</v>
      </c>
      <c r="DD74" s="24">
        <f t="shared" ca="1" si="83"/>
        <v>3.6919272213389878E-2</v>
      </c>
      <c r="DE74" s="24">
        <f t="shared" ca="1" si="84"/>
        <v>6.6454689984101784E-2</v>
      </c>
      <c r="DF74" s="24">
        <f t="shared" ca="1" si="85"/>
        <v>0.11075781664016963</v>
      </c>
      <c r="DG74" s="24">
        <f t="shared" ca="1" si="86"/>
        <v>0.16613672496025444</v>
      </c>
      <c r="DI74" s="19" cm="1">
        <f t="array" aca="1" ref="DI74" ca="1">MAX(_xlfn._xlws.FILTER(CT74:DG74,CT74:DG74&lt;BP74))</f>
        <v>5.1118992295462904E-3</v>
      </c>
      <c r="DJ74" s="19" cm="1">
        <f t="array" aca="1" ref="DJ74" ca="1">MIN(_xlfn._xlws.FILTER(CT74:DG74,CT74:DG74&gt;BP74))</f>
        <v>1.0068892421833602E-2</v>
      </c>
      <c r="DK74" s="2" cm="1">
        <f t="array" aca="1" ref="DK74" ca="1">_FV(EH74,"Fechamento anterior",TRUE)</f>
        <v>2.35</v>
      </c>
      <c r="DL74" s="36">
        <f ca="1">(BJ74-DM74)/(DN74-DM74)</f>
        <v>0.68564529675251784</v>
      </c>
      <c r="DM74" s="18">
        <f t="shared" ca="1" si="87"/>
        <v>2.362012963189434</v>
      </c>
      <c r="DN74" s="18">
        <f t="shared" ca="1" si="88"/>
        <v>2.373661897191309</v>
      </c>
      <c r="DO74" s="9"/>
      <c r="DP74" s="9"/>
      <c r="DQ74" s="94">
        <v>1.0321324245374878E-2</v>
      </c>
      <c r="DR74" s="94">
        <v>5.0199405649642625E-3</v>
      </c>
      <c r="DS74" s="94">
        <v>4.3733333333333332E-2</v>
      </c>
      <c r="DT74" s="94">
        <f t="shared" ca="1" si="92"/>
        <v>4.9569931922873118E-3</v>
      </c>
      <c r="DU74" s="87">
        <f ca="1">(BJ74-CF74)/(CF74-CE74)</f>
        <v>0.73166099846657795</v>
      </c>
      <c r="DV74" s="46"/>
      <c r="DW74" s="43">
        <f>_xlfn.STDEV.P(BF74:BI74)</f>
        <v>9.9089605913032064E-2</v>
      </c>
      <c r="DX74" s="76">
        <f ca="1">BO74-$DT$2</f>
        <v>1.5185999999999997</v>
      </c>
      <c r="DY74" s="76">
        <f ca="1">BO74-BP74*100</f>
        <v>1.6645999999999999</v>
      </c>
      <c r="DZ74" s="101"/>
      <c r="EA74" s="100">
        <v>-0.9724999999999997</v>
      </c>
      <c r="EB74" s="107">
        <v>-0.47480000000000011</v>
      </c>
      <c r="EC74" s="107">
        <v>-0.66300000000000026</v>
      </c>
      <c r="ED74" s="98">
        <f t="shared" ca="1" si="93"/>
        <v>-0.14600000000000013</v>
      </c>
      <c r="EE74" s="66"/>
      <c r="EF74" s="66"/>
      <c r="EH74" s="2" t="e" vm="74">
        <v>#VALUE!</v>
      </c>
      <c r="EJ74" s="10" cm="1">
        <f t="array" aca="1" ref="EJ74" ca="1">_FV(EH74,"Ações em circulação",TRUE)</f>
        <v>525591100</v>
      </c>
      <c r="EK74" s="21">
        <f>VLOOKUP(BK74,Fundamentus!A:U,5,FALSE)</f>
        <v>0.84099999999999997</v>
      </c>
      <c r="EL74" s="2">
        <f ca="1">(BJ74*EJ74)/EK74</f>
        <v>1481154467.3008325</v>
      </c>
      <c r="EM74" s="20">
        <v>-77691863.967300847</v>
      </c>
      <c r="EN74" s="20">
        <f t="shared" ca="1" si="94"/>
        <v>-78353071.320214048</v>
      </c>
      <c r="EP74" s="19">
        <f t="shared" ca="1" si="89"/>
        <v>8.5106382978723527E-3</v>
      </c>
      <c r="EQ74" s="40" t="str">
        <f>IF(VLOOKUP(BK74,Fundamentus!A:U,3,FALSE)&lt;15,"Bom",IF(VLOOKUP(BK74,Fundamentus!A:U,3,FALSE)&gt;15,"Ruim","n/a"))</f>
        <v>Bom</v>
      </c>
      <c r="ER74" s="36" t="str">
        <f>IF(VLOOKUP(BK74,Fundamentus!A:U,4,FALSE)&lt;1,"Baixo",IF(VLOOKUP(BK74,Fundamentus!A:U,4,FALSE)&lt;1.5,"Moderado",IF(VLOOKUP(BK74,Fundamentus!A:U,4,FALSE)&gt;1.5,"Alto","n/a")))</f>
        <v>Alto</v>
      </c>
      <c r="ES74" s="20" t="str">
        <f>IF(VLOOKUP(BK74,Fundamentus!A:U,8,FALSE)&lt;0,"Risco elevado",IF(VLOOKUP(BK74,Fundamentus!A:U,8,FALSE)&lt;1,"Saudável",IF(VLOOKUP(BK74,Fundamentus!A:U,8,FALSE)&lt;3,"Estável",IF(VLOOKUP(BK74,Fundamentus!A:U,8,FALSE)&gt;3,"Alerta","n/a"))))</f>
        <v>Risco elevado</v>
      </c>
      <c r="ET74" s="36" t="str">
        <f t="shared" si="95"/>
        <v>Ruim</v>
      </c>
      <c r="EU74" s="20" t="str">
        <f>IF(VLOOKUP(BK74,Fundamentus!A:U,12,FALSE)&lt;2,"Subvalorizada",IF(VLOOKUP(BK74,Fundamentus!A:U,12,FALSE)&lt;6,"Muita barata",IF(VLOOKUP(BK74,Fundamentus!A:U,12,FALSE)&lt;6,"Barata",IF(VLOOKUP(BK74,Fundamentus!A:U,12,FALSE)&lt;8,"Atrativa",IF(VLOOKUP(BK74,Fundamentus!A:U,12,FALSE)&gt;8,"Supervalorizada","n/a")))))</f>
        <v>Muita barata</v>
      </c>
      <c r="EW74" s="20" t="str">
        <f>IF(VLOOKUP(BK74,Fundamentus!A:U,17,FALSE)&lt;0.1,"Fraco retorno",IF(VLOOKUP(BK74,Fundamentus!A:U,17,FALSE)&gt;0.1,"Bom retorno","n/a"))</f>
        <v>Fraco retorno</v>
      </c>
      <c r="EX74" s="20" t="str">
        <f>IF(VLOOKUP(BK74,Fundamentus!A:U,16,FALSE)&lt;0.1,"Ineficiente",IF(VLOOKUP(BK74,Fundamentus!A:U,16,FALSE)&gt;0.1,"Eficiente","n/a"))</f>
        <v>Ineficiente</v>
      </c>
      <c r="EY74" s="41" t="str">
        <f>IF(VLOOKUP(BK74,Fundamentus!A:U,16,FALSE)&lt;0.1,"Oper. Ineficiente",IF(VLOOKUP(BK74,Fundamentus!A:U,16,FALSE)&gt;0.1,"Oper.Eficiente","n/a"))</f>
        <v>Oper. Ineficiente</v>
      </c>
      <c r="EZ74" s="42">
        <f>VLOOKUP(BK74,Fundamentus!A:U,14,FALSE)</f>
        <v>-5.2900000000000003E-2</v>
      </c>
      <c r="FA74" s="20" t="str">
        <f>IF(VLOOKUP(BK74,Fundamentus!A:U,21,FALSE)&lt;0,"Negativo",IF(VLOOKUP(BK74,Fundamentus!A:U,21,FALSE)&lt;0.05,"Fraco",IF(VLOOKUP(BK74,Fundamentus!A:U,21,FALSE)&lt;0.1,"Bom",IF(VLOOKUP(BK74,Fundamentus!A:U,21,FALSE)&gt;0.1,"Muito bom","n/a"))))</f>
        <v>Muito bom</v>
      </c>
      <c r="FC74" s="37" t="str">
        <f>IF(VLOOKUP(BK74,Fundamentus!A:U,15,FALSE)&gt;1,"Bom",IF(VLOOKUP(BK74,Fundamentus!A:U,15,FALSE)&lt;1,"Ruim","n/a"))</f>
        <v>Ruim</v>
      </c>
      <c r="FD74" s="20" t="str">
        <f>IF(VLOOKUP(BK74,Fundamentus!A:U,20,FALSE)&lt;0.5,"Baixa",IF(VLOOKUP(BK74,Fundamentus!A:U,20,FALSE)&lt;1,"Moderada",IF(VLOOKUP(BK74,Fundamentus!A:U,20,FALSE)&lt;2,"Alerta",IF(VLOOKUP(BK74,Fundamentus!A:U,20,FALSE)&gt;2,"Alta","n/a"))))</f>
        <v>Alerta</v>
      </c>
      <c r="FE74" s="10"/>
    </row>
    <row r="75" spans="1:161" s="2" customFormat="1" ht="11.25" hidden="1"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8">
        <v>48.03</v>
      </c>
      <c r="BC75" s="62">
        <v>51.8</v>
      </c>
      <c r="BD75" s="62">
        <v>51.55</v>
      </c>
      <c r="BE75" s="62">
        <v>51.91</v>
      </c>
      <c r="BF75" s="62">
        <v>53.21</v>
      </c>
      <c r="BG75" s="81">
        <v>51.72</v>
      </c>
      <c r="BH75" s="62">
        <v>52.5</v>
      </c>
      <c r="BI75" s="62">
        <v>53.51</v>
      </c>
      <c r="BJ75" s="62" cm="1">
        <f t="array" aca="1" ref="BJ75" ca="1">_FV(EH75,"Preço")</f>
        <v>53.89</v>
      </c>
      <c r="BK75" s="83" t="s">
        <v>72</v>
      </c>
      <c r="BL75" s="44" cm="1">
        <f t="array" aca="1" ref="BL75" ca="1">_FV(EH75,"Média de volume",TRUE)</f>
        <v>493620</v>
      </c>
      <c r="BM75" s="44">
        <v>391700</v>
      </c>
      <c r="BN75" s="44" cm="1">
        <f t="array" aca="1" ref="BN75" ca="1">_FV(EH75,"Volume")</f>
        <v>109600</v>
      </c>
      <c r="BO75" s="32" cm="1">
        <f t="array" aca="1" ref="BO75" ca="1">_FV(EH75,"Beta")</f>
        <v>0.88400000000000001</v>
      </c>
      <c r="BP75" s="86" cm="1">
        <f t="array" aca="1" ref="BP75" ca="1">_FV(EH75,"Variação (%)",TRUE)</f>
        <v>7.1009999999999997E-3</v>
      </c>
      <c r="BQ75" s="48"/>
      <c r="BR75" s="48"/>
      <c r="BT75" s="20" cm="1">
        <f t="array" aca="1" ref="BT75" ca="1">_FV(EH75,"Baixo")</f>
        <v>53.08</v>
      </c>
      <c r="BU75" s="20" cm="1">
        <f t="array" aca="1" ref="BU75" ca="1">_FV(EH75,"Alto")</f>
        <v>54.22</v>
      </c>
      <c r="BV75" s="32"/>
      <c r="BW75" s="73">
        <f ca="1">SQRT(22.5*(BJ75/VLOOKUP(BK75,Fundamentus!A:U,3,FALSE))*(BJ75/VLOOKUP(BK75,Fundamentus!A:U,4,FALSE)))</f>
        <v>7.6973497239809276</v>
      </c>
      <c r="BY75" s="72">
        <f t="shared" ca="1" si="90"/>
        <v>7.1014763595590091E-3</v>
      </c>
      <c r="BZ75" s="8"/>
      <c r="CA75" s="71">
        <f t="shared" si="36"/>
        <v>36.76</v>
      </c>
      <c r="CB75" s="71">
        <f t="shared" si="91"/>
        <v>53.51</v>
      </c>
      <c r="CC75" s="71">
        <f t="shared" si="37"/>
        <v>43.947950819672137</v>
      </c>
      <c r="CD75" s="17"/>
      <c r="CE75" s="43">
        <f t="shared" si="96"/>
        <v>51.772357602270176</v>
      </c>
      <c r="CF75" s="18">
        <f>FORECAST("04/07/2025", BF75:BI75, $BF$5:$BI$5)</f>
        <v>53.154999999999973</v>
      </c>
      <c r="CG75" s="43">
        <f t="shared" si="97"/>
        <v>54.537642397729769</v>
      </c>
      <c r="CI75" s="17"/>
      <c r="CJ75" s="20">
        <f>CA75-2*(CB75-CM75)</f>
        <v>25.593333333333341</v>
      </c>
      <c r="CK75" s="20">
        <f>CM75-(CB75-CA75)</f>
        <v>31.176666666666669</v>
      </c>
      <c r="CL75" s="20">
        <f>2*CM75-CB75</f>
        <v>42.343333333333341</v>
      </c>
      <c r="CM75" s="48">
        <f>(CB75+CA75+BI75)/3</f>
        <v>47.926666666666669</v>
      </c>
      <c r="CN75" s="20">
        <f>2*CM75-CA75</f>
        <v>59.093333333333341</v>
      </c>
      <c r="CO75" s="20">
        <f>CM75+(CB75-CA75)</f>
        <v>64.676666666666677</v>
      </c>
      <c r="CP75" s="20">
        <f>CB75+2*(CM75-CA75)</f>
        <v>75.843333333333334</v>
      </c>
      <c r="CQ75" s="2" cm="1">
        <f t="array" aca="1" ref="CQ75" ca="1">MAX(_xlfn._xlws.FILTER(CJ75:CP75,CJ75:CP75&lt;BJ75))</f>
        <v>47.926666666666669</v>
      </c>
      <c r="CR75" s="2" cm="1">
        <f t="array" aca="1" ref="CR75" ca="1">MIN(_xlfn._xlws.FILTER($CJ75:$CP75,$CJ75:$CP75&gt;BJ75))</f>
        <v>59.093333333333341</v>
      </c>
      <c r="CS75" s="19">
        <f t="shared" ca="1" si="72"/>
        <v>0.23299485324801794</v>
      </c>
      <c r="CT75" s="23">
        <f t="shared" ca="1" si="73"/>
        <v>-0.11649742662400897</v>
      </c>
      <c r="CU75" s="23">
        <f t="shared" ca="1" si="74"/>
        <v>-7.7664951082672642E-2</v>
      </c>
      <c r="CV75" s="23">
        <f t="shared" ca="1" si="75"/>
        <v>-4.659897064960359E-2</v>
      </c>
      <c r="CW75" s="23">
        <f t="shared" ca="1" si="76"/>
        <v>-2.5888317027557547E-2</v>
      </c>
      <c r="CX75" s="23">
        <f t="shared" ca="1" si="77"/>
        <v>-1.3705579602824584E-2</v>
      </c>
      <c r="CY75" s="23">
        <f t="shared" ca="1" si="78"/>
        <v>-7.0604500984247859E-3</v>
      </c>
      <c r="CZ75" s="23">
        <f t="shared" ca="1" si="79"/>
        <v>-3.5845362038156607E-3</v>
      </c>
      <c r="DA75" s="24">
        <f t="shared" ca="1" si="80"/>
        <v>3.5845362038156607E-3</v>
      </c>
      <c r="DB75" s="24">
        <f t="shared" ca="1" si="81"/>
        <v>7.0604500984247859E-3</v>
      </c>
      <c r="DC75" s="24">
        <f t="shared" ca="1" si="82"/>
        <v>1.3705579602824584E-2</v>
      </c>
      <c r="DD75" s="24">
        <f t="shared" ca="1" si="83"/>
        <v>2.5888317027557547E-2</v>
      </c>
      <c r="DE75" s="24">
        <f t="shared" ca="1" si="84"/>
        <v>4.659897064960359E-2</v>
      </c>
      <c r="DF75" s="24">
        <f t="shared" ca="1" si="85"/>
        <v>7.7664951082672642E-2</v>
      </c>
      <c r="DG75" s="24">
        <f t="shared" ca="1" si="86"/>
        <v>0.11649742662400897</v>
      </c>
      <c r="DI75" s="19" cm="1">
        <f t="array" aca="1" ref="DI75" ca="1">MAX(_xlfn._xlws.FILTER(CT75:DG75,CT75:DG75&lt;BP75))</f>
        <v>7.0604500984247859E-3</v>
      </c>
      <c r="DJ75" s="19" cm="1">
        <f t="array" aca="1" ref="DJ75" ca="1">MIN(_xlfn._xlws.FILTER(CT75:DG75,CT75:DG75&gt;BP75))</f>
        <v>1.3705579602824584E-2</v>
      </c>
      <c r="DK75" s="2" cm="1">
        <f t="array" aca="1" ref="DK75" ca="1">_FV(EH75,"Fechamento anterior",TRUE)</f>
        <v>53.51</v>
      </c>
      <c r="DL75" s="36">
        <f ca="1">(BJ75-DM75)/(DN75-DM75)</f>
        <v>6.1738843625384525E-3</v>
      </c>
      <c r="DM75" s="18">
        <f t="shared" ca="1" si="87"/>
        <v>53.887804684766706</v>
      </c>
      <c r="DN75" s="18">
        <f t="shared" ca="1" si="88"/>
        <v>54.24338556454714</v>
      </c>
      <c r="DO75" s="9"/>
      <c r="DP75" s="9"/>
      <c r="DQ75" s="94">
        <v>1.6068098417854792E-2</v>
      </c>
      <c r="DR75" s="94">
        <v>5.9979127018233219E-3</v>
      </c>
      <c r="DS75" s="94">
        <v>6.8209579960585671E-3</v>
      </c>
      <c r="DT75" s="94">
        <f t="shared" ca="1" si="92"/>
        <v>6.6451295043997985E-3</v>
      </c>
      <c r="DU75" s="87">
        <f ca="1">(BJ75-CF75)/(CF75-CE75)</f>
        <v>0.53159081567789856</v>
      </c>
      <c r="DV75" s="46"/>
      <c r="DW75" s="43">
        <f>_xlfn.STDEV.P(BF75:BI75)</f>
        <v>0.69132119886489807</v>
      </c>
      <c r="DX75" s="76">
        <f ca="1">BO75-$DT$2</f>
        <v>-0.11310000000000009</v>
      </c>
      <c r="DY75" s="76">
        <f ca="1">BO75-BP75*100</f>
        <v>0.17390000000000005</v>
      </c>
      <c r="DZ75" s="101"/>
      <c r="EA75" s="100">
        <v>1.1272000000000002</v>
      </c>
      <c r="EB75" s="107">
        <v>1.5668000000000002</v>
      </c>
      <c r="EC75" s="107">
        <v>0.27442999999999995</v>
      </c>
      <c r="ED75" s="98">
        <f t="shared" ca="1" si="93"/>
        <v>-0.28700000000000014</v>
      </c>
      <c r="EE75" s="66"/>
      <c r="EF75" s="66"/>
      <c r="EH75" s="2" t="e" vm="75">
        <v>#VALUE!</v>
      </c>
      <c r="EJ75" s="10" cm="1">
        <f t="array" aca="1" ref="EJ75" ca="1">_FV(EH75,"Ações em circulação",TRUE)</f>
        <v>88656280</v>
      </c>
      <c r="EK75" s="21">
        <f>VLOOKUP(BK75,Fundamentus!A:U,5,FALSE)</f>
        <v>5.3170000000000002</v>
      </c>
      <c r="EL75" s="2">
        <f ca="1">(BJ75*EJ75)/EK75</f>
        <v>898568164.22794807</v>
      </c>
      <c r="EM75" s="20">
        <v>38901315.190159865</v>
      </c>
      <c r="EN75" s="20">
        <f t="shared" ca="1" si="94"/>
        <v>39177571.960338533</v>
      </c>
      <c r="EP75" s="19">
        <f t="shared" ca="1" si="89"/>
        <v>7.1014763595589336E-3</v>
      </c>
      <c r="EQ75" s="40" t="str">
        <f>IF(VLOOKUP(BK75,Fundamentus!A:U,3,FALSE)&lt;15,"Bom",IF(VLOOKUP(BK75,Fundamentus!A:U,3,FALSE)&gt;15,"Ruim","n/a"))</f>
        <v>Ruim</v>
      </c>
      <c r="ER75" s="36" t="str">
        <f>IF(VLOOKUP(BK75,Fundamentus!A:U,4,FALSE)&lt;1,"Baixo",IF(VLOOKUP(BK75,Fundamentus!A:U,4,FALSE)&lt;1.5,"Moderado",IF(VLOOKUP(BK75,Fundamentus!A:U,4,FALSE)&gt;1.5,"Alto","n/a")))</f>
        <v>Alto</v>
      </c>
      <c r="ES75" s="20" t="str">
        <f>IF(VLOOKUP(BK75,Fundamentus!A:U,8,FALSE)&lt;0,"Risco elevado",IF(VLOOKUP(BK75,Fundamentus!A:U,8,FALSE)&lt;1,"Saudável",IF(VLOOKUP(BK75,Fundamentus!A:U,8,FALSE)&lt;3,"Estável",IF(VLOOKUP(BK75,Fundamentus!A:U,8,FALSE)&gt;3,"Alerta","n/a"))))</f>
        <v>Alerta</v>
      </c>
      <c r="ET75" s="36" t="str">
        <f t="shared" si="95"/>
        <v>Bom</v>
      </c>
      <c r="EU75" s="20" t="str">
        <f>IF(VLOOKUP(BK75,Fundamentus!A:U,12,FALSE)&lt;2,"Subvalorizada",IF(VLOOKUP(BK75,Fundamentus!A:U,12,FALSE)&lt;6,"Muita barata",IF(VLOOKUP(BK75,Fundamentus!A:U,12,FALSE)&lt;6,"Barata",IF(VLOOKUP(BK75,Fundamentus!A:U,12,FALSE)&lt;8,"Atrativa",IF(VLOOKUP(BK75,Fundamentus!A:U,12,FALSE)&gt;8,"Supervalorizada","n/a")))))</f>
        <v>Supervalorizada</v>
      </c>
      <c r="EW75" s="20" t="str">
        <f>IF(VLOOKUP(BK75,Fundamentus!A:U,17,FALSE)&lt;0.1,"Fraco retorno",IF(VLOOKUP(BK75,Fundamentus!A:U,17,FALSE)&gt;0.1,"Bom retorno","n/a"))</f>
        <v>Fraco retorno</v>
      </c>
      <c r="EX75" s="20" t="str">
        <f>IF(VLOOKUP(BK75,Fundamentus!A:U,16,FALSE)&lt;0.1,"Ineficiente",IF(VLOOKUP(BK75,Fundamentus!A:U,16,FALSE)&gt;0.1,"Eficiente","n/a"))</f>
        <v>Ineficiente</v>
      </c>
      <c r="EY75" s="41" t="str">
        <f>IF(VLOOKUP(BK75,Fundamentus!A:U,16,FALSE)&lt;0.1,"Oper. Ineficiente",IF(VLOOKUP(BK75,Fundamentus!A:U,16,FALSE)&gt;0.1,"Oper.Eficiente","n/a"))</f>
        <v>Oper. Ineficiente</v>
      </c>
      <c r="EZ75" s="42">
        <f>VLOOKUP(BK75,Fundamentus!A:U,14,FALSE)</f>
        <v>4.36E-2</v>
      </c>
      <c r="FA75" s="20" t="str">
        <f>IF(VLOOKUP(BK75,Fundamentus!A:U,21,FALSE)&lt;0,"Negativo",IF(VLOOKUP(BK75,Fundamentus!A:U,21,FALSE)&lt;0.05,"Fraco",IF(VLOOKUP(BK75,Fundamentus!A:U,21,FALSE)&lt;0.1,"Bom",IF(VLOOKUP(BK75,Fundamentus!A:U,21,FALSE)&gt;0.1,"Muito bom","n/a"))))</f>
        <v>Muito bom</v>
      </c>
      <c r="FC75" s="37" t="str">
        <f>IF(VLOOKUP(BK75,Fundamentus!A:U,15,FALSE)&gt;1,"Bom",IF(VLOOKUP(BK75,Fundamentus!A:U,15,FALSE)&lt;1,"Ruim","n/a"))</f>
        <v>Bom</v>
      </c>
      <c r="FD75" s="20" t="str">
        <f>IF(VLOOKUP(BK75,Fundamentus!A:U,20,FALSE)&lt;0.5,"Baixa",IF(VLOOKUP(BK75,Fundamentus!A:U,20,FALSE)&lt;1,"Moderada",IF(VLOOKUP(BK75,Fundamentus!A:U,20,FALSE)&lt;2,"Alerta",IF(VLOOKUP(BK75,Fundamentus!A:U,20,FALSE)&gt;2,"Alta","n/a"))))</f>
        <v>Alta</v>
      </c>
      <c r="FE75" s="10"/>
    </row>
    <row r="76" spans="1:161" s="2" customFormat="1" ht="11.25" hidden="1"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8">
        <v>47.32</v>
      </c>
      <c r="BC76" s="62">
        <v>46.76</v>
      </c>
      <c r="BD76" s="62">
        <v>46.45</v>
      </c>
      <c r="BE76" s="62">
        <v>49.16</v>
      </c>
      <c r="BF76" s="62">
        <v>50.79</v>
      </c>
      <c r="BG76" s="81">
        <v>47.05</v>
      </c>
      <c r="BH76" s="62">
        <v>47.32</v>
      </c>
      <c r="BI76" s="62">
        <v>44.28</v>
      </c>
      <c r="BJ76" s="62" cm="1">
        <f t="array" aca="1" ref="BJ76" ca="1">_FV(EH76,"Preço")</f>
        <v>44.56</v>
      </c>
      <c r="BK76" s="83" t="s">
        <v>73</v>
      </c>
      <c r="BL76" s="44" cm="1">
        <f t="array" aca="1" ref="BL76" ca="1">_FV(EH76,"Média de volume",TRUE)</f>
        <v>888310</v>
      </c>
      <c r="BM76" s="44">
        <v>590900</v>
      </c>
      <c r="BN76" s="44" cm="1">
        <f t="array" aca="1" ref="BN76" ca="1">_FV(EH76,"Volume")</f>
        <v>229200</v>
      </c>
      <c r="BO76" s="32" cm="1">
        <f t="array" aca="1" ref="BO76" ca="1">_FV(EH76,"Beta")</f>
        <v>1.3124</v>
      </c>
      <c r="BP76" s="86" cm="1">
        <f t="array" aca="1" ref="BP76" ca="1">_FV(EH76,"Variação (%)",TRUE)</f>
        <v>6.3229999999999996E-3</v>
      </c>
      <c r="BQ76" s="48"/>
      <c r="BR76" s="48"/>
      <c r="BT76" s="20" cm="1">
        <f t="array" aca="1" ref="BT76" ca="1">_FV(EH76,"Baixo")</f>
        <v>44.18</v>
      </c>
      <c r="BU76" s="20" cm="1">
        <f t="array" aca="1" ref="BU76" ca="1">_FV(EH76,"Alto")</f>
        <v>44.81</v>
      </c>
      <c r="BV76" s="32"/>
      <c r="BW76" s="73" t="e">
        <f ca="1">SQRT(22.5*(BJ76/VLOOKUP(BK76,Fundamentus!A:U,3,FALSE))*(BJ76/VLOOKUP(BK76,Fundamentus!A:U,4,FALSE)))</f>
        <v>#NUM!</v>
      </c>
      <c r="BY76" s="72">
        <f t="shared" ca="1" si="90"/>
        <v>6.3233965672990318E-3</v>
      </c>
      <c r="BZ76" s="8"/>
      <c r="CA76" s="71">
        <f t="shared" si="36"/>
        <v>28.65</v>
      </c>
      <c r="CB76" s="71">
        <f t="shared" si="91"/>
        <v>57.08</v>
      </c>
      <c r="CC76" s="71">
        <f t="shared" si="37"/>
        <v>43.005163934426243</v>
      </c>
      <c r="CD76" s="17"/>
      <c r="CE76" s="43">
        <f t="shared" si="96"/>
        <v>37.924502191321878</v>
      </c>
      <c r="CF76" s="18">
        <f>FORECAST("04/07/2025", BF76:BI76, $BF$5:$BI$5)</f>
        <v>42.545000000000073</v>
      </c>
      <c r="CG76" s="43">
        <f t="shared" si="97"/>
        <v>47.165497808678268</v>
      </c>
      <c r="CI76" s="17"/>
      <c r="CJ76" s="20">
        <f>CA76-2*(CB76-CM76)</f>
        <v>1.163333333333334</v>
      </c>
      <c r="CK76" s="20">
        <f>CM76-(CB76-CA76)</f>
        <v>14.906666666666666</v>
      </c>
      <c r="CL76" s="20">
        <f>2*CM76-CB76</f>
        <v>29.593333333333334</v>
      </c>
      <c r="CM76" s="48">
        <f>(CB76+CA76+BI76)/3</f>
        <v>43.336666666666666</v>
      </c>
      <c r="CN76" s="20">
        <f>2*CM76-CA76</f>
        <v>58.023333333333333</v>
      </c>
      <c r="CO76" s="20">
        <f>CM76+(CB76-CA76)</f>
        <v>71.766666666666666</v>
      </c>
      <c r="CP76" s="20">
        <f>CB76+2*(CM76-CA76)</f>
        <v>86.453333333333333</v>
      </c>
      <c r="CQ76" s="2" cm="1">
        <f t="array" aca="1" ref="CQ76" ca="1">MAX(_xlfn._xlws.FILTER(CJ76:CP76,CJ76:CP76&lt;BJ76))</f>
        <v>43.336666666666666</v>
      </c>
      <c r="CR76" s="2" cm="1">
        <f t="array" aca="1" ref="CR76" ca="1">MIN(_xlfn._xlws.FILTER($CJ76:$CP76,$CJ76:$CP76&gt;BJ76))</f>
        <v>58.023333333333333</v>
      </c>
      <c r="CS76" s="19">
        <f t="shared" ca="1" si="72"/>
        <v>0.33889700792246757</v>
      </c>
      <c r="CT76" s="23">
        <f t="shared" ca="1" si="73"/>
        <v>-0.16944850396123379</v>
      </c>
      <c r="CU76" s="23">
        <f t="shared" ca="1" si="74"/>
        <v>-0.11296566930748919</v>
      </c>
      <c r="CV76" s="23">
        <f t="shared" ca="1" si="75"/>
        <v>-6.7779401584493512E-2</v>
      </c>
      <c r="CW76" s="23">
        <f t="shared" ca="1" si="76"/>
        <v>-3.7655223102496395E-2</v>
      </c>
      <c r="CX76" s="23">
        <f t="shared" ca="1" si="77"/>
        <v>-1.9935118113086327E-2</v>
      </c>
      <c r="CY76" s="23">
        <f t="shared" ca="1" si="78"/>
        <v>-1.0269606300680835E-2</v>
      </c>
      <c r="CZ76" s="23">
        <f t="shared" ca="1" si="79"/>
        <v>-5.2138001218841167E-3</v>
      </c>
      <c r="DA76" s="24">
        <f t="shared" ca="1" si="80"/>
        <v>5.2138001218841167E-3</v>
      </c>
      <c r="DB76" s="24">
        <f t="shared" ca="1" si="81"/>
        <v>1.0269606300680835E-2</v>
      </c>
      <c r="DC76" s="24">
        <f t="shared" ca="1" si="82"/>
        <v>1.9935118113086327E-2</v>
      </c>
      <c r="DD76" s="24">
        <f t="shared" ca="1" si="83"/>
        <v>3.7655223102496395E-2</v>
      </c>
      <c r="DE76" s="24">
        <f t="shared" ca="1" si="84"/>
        <v>6.7779401584493512E-2</v>
      </c>
      <c r="DF76" s="24">
        <f t="shared" ca="1" si="85"/>
        <v>0.11296566930748919</v>
      </c>
      <c r="DG76" s="24">
        <f t="shared" ca="1" si="86"/>
        <v>0.16944850396123379</v>
      </c>
      <c r="DI76" s="19" cm="1">
        <f t="array" aca="1" ref="DI76" ca="1">MAX(_xlfn._xlws.FILTER(CT76:DG76,CT76:DG76&lt;BP76))</f>
        <v>5.2138001218841167E-3</v>
      </c>
      <c r="DJ76" s="19" cm="1">
        <f t="array" aca="1" ref="DJ76" ca="1">MIN(_xlfn._xlws.FILTER(CT76:DG76,CT76:DG76&gt;BP76))</f>
        <v>1.0269606300680835E-2</v>
      </c>
      <c r="DK76" s="2" cm="1">
        <f t="array" aca="1" ref="DK76" ca="1">_FV(EH76,"Fechamento anterior",TRUE)</f>
        <v>44.28</v>
      </c>
      <c r="DL76" s="36">
        <f ca="1">(BJ76-DM76)/(DN76-DM76)</f>
        <v>0.21946973562166955</v>
      </c>
      <c r="DM76" s="18">
        <f t="shared" ca="1" si="87"/>
        <v>44.51086706939703</v>
      </c>
      <c r="DN76" s="18">
        <f t="shared" ca="1" si="88"/>
        <v>44.734738166994148</v>
      </c>
      <c r="DO76" s="9"/>
      <c r="DP76" s="9"/>
      <c r="DQ76" s="94">
        <v>9.6973638987541966E-3</v>
      </c>
      <c r="DR76" s="94">
        <v>1.0461963744617508E-2</v>
      </c>
      <c r="DS76" s="94">
        <v>1.8441237015969215E-2</v>
      </c>
      <c r="DT76" s="94">
        <f t="shared" ca="1" si="92"/>
        <v>5.0558061787967182E-3</v>
      </c>
      <c r="DU76" s="87">
        <f ca="1">(BJ76-CF76)/(CF76-CE76)</f>
        <v>0.43610019600385203</v>
      </c>
      <c r="DV76" s="46"/>
      <c r="DW76" s="43">
        <f>_xlfn.STDEV.P(BF76:BI76)</f>
        <v>2.310248904339097</v>
      </c>
      <c r="DX76" s="76">
        <f ca="1">BO76-$DT$2</f>
        <v>0.31529999999999991</v>
      </c>
      <c r="DY76" s="76">
        <f ca="1">BO76-BP76*100</f>
        <v>0.68010000000000004</v>
      </c>
      <c r="DZ76" s="101"/>
      <c r="EA76" s="100">
        <v>0.17290000000000005</v>
      </c>
      <c r="EB76" s="107">
        <v>0.61189999999999989</v>
      </c>
      <c r="EC76" s="107">
        <v>-1.8328000000000002</v>
      </c>
      <c r="ED76" s="98">
        <f t="shared" ca="1" si="93"/>
        <v>-0.36480000000000012</v>
      </c>
      <c r="EE76" s="66"/>
      <c r="EF76" s="66"/>
      <c r="EH76" s="2" t="e" vm="76">
        <v>#VALUE!</v>
      </c>
      <c r="EJ76" s="10" cm="1">
        <f t="array" aca="1" ref="EJ76" ca="1">_FV(EH76,"Ações em circulação",TRUE)</f>
        <v>81842890</v>
      </c>
      <c r="EK76" s="21">
        <f>VLOOKUP(BK76,Fundamentus!A:U,5,FALSE)</f>
        <v>0.64200000000000002</v>
      </c>
      <c r="EL76" s="2">
        <f ca="1">(BJ76*EJ76)/EK76</f>
        <v>5680559467.9127722</v>
      </c>
      <c r="EM76" s="20">
        <v>-96527187.217009366</v>
      </c>
      <c r="EN76" s="20">
        <f t="shared" ca="1" si="94"/>
        <v>-97137566.901308402</v>
      </c>
      <c r="EP76" s="19">
        <f t="shared" ca="1" si="89"/>
        <v>6.3233965672986336E-3</v>
      </c>
      <c r="EQ76" s="40" t="str">
        <f>IF(VLOOKUP(BK76,Fundamentus!A:U,3,FALSE)&lt;15,"Bom",IF(VLOOKUP(BK76,Fundamentus!A:U,3,FALSE)&gt;15,"Ruim","n/a"))</f>
        <v>Bom</v>
      </c>
      <c r="ER76" s="36" t="str">
        <f>IF(VLOOKUP(BK76,Fundamentus!A:U,4,FALSE)&lt;1,"Baixo",IF(VLOOKUP(BK76,Fundamentus!A:U,4,FALSE)&lt;1.5,"Moderado",IF(VLOOKUP(BK76,Fundamentus!A:U,4,FALSE)&gt;1.5,"Alto","n/a")))</f>
        <v>Baixo</v>
      </c>
      <c r="ES76" s="20" t="str">
        <f>IF(VLOOKUP(BK76,Fundamentus!A:U,8,FALSE)&lt;0,"Risco elevado",IF(VLOOKUP(BK76,Fundamentus!A:U,8,FALSE)&lt;1,"Saudável",IF(VLOOKUP(BK76,Fundamentus!A:U,8,FALSE)&lt;3,"Estável",IF(VLOOKUP(BK76,Fundamentus!A:U,8,FALSE)&gt;3,"Alerta","n/a"))))</f>
        <v>Saudável</v>
      </c>
      <c r="ET76" s="36" t="str">
        <f t="shared" si="95"/>
        <v>Ruim</v>
      </c>
      <c r="EU76" s="20" t="str">
        <f>IF(VLOOKUP(BK76,Fundamentus!A:U,12,FALSE)&lt;2,"Subvalorizada",IF(VLOOKUP(BK76,Fundamentus!A:U,12,FALSE)&lt;6,"Muita barata",IF(VLOOKUP(BK76,Fundamentus!A:U,12,FALSE)&lt;6,"Barata",IF(VLOOKUP(BK76,Fundamentus!A:U,12,FALSE)&lt;8,"Atrativa",IF(VLOOKUP(BK76,Fundamentus!A:U,12,FALSE)&gt;8,"Supervalorizada","n/a")))))</f>
        <v>Subvalorizada</v>
      </c>
      <c r="EW76" s="20" t="str">
        <f>IF(VLOOKUP(BK76,Fundamentus!A:U,17,FALSE)&lt;0.1,"Fraco retorno",IF(VLOOKUP(BK76,Fundamentus!A:U,17,FALSE)&gt;0.1,"Bom retorno","n/a"))</f>
        <v>Fraco retorno</v>
      </c>
      <c r="EX76" s="20" t="str">
        <f>IF(VLOOKUP(BK76,Fundamentus!A:U,16,FALSE)&lt;0.1,"Ineficiente",IF(VLOOKUP(BK76,Fundamentus!A:U,16,FALSE)&gt;0.1,"Eficiente","n/a"))</f>
        <v>Ineficiente</v>
      </c>
      <c r="EY76" s="41" t="str">
        <f>IF(VLOOKUP(BK76,Fundamentus!A:U,16,FALSE)&lt;0.1,"Oper. Ineficiente",IF(VLOOKUP(BK76,Fundamentus!A:U,16,FALSE)&gt;0.1,"Oper.Eficiente","n/a"))</f>
        <v>Oper. Ineficiente</v>
      </c>
      <c r="EZ76" s="42">
        <f>VLOOKUP(BK76,Fundamentus!A:U,14,FALSE)</f>
        <v>-1.7100000000000001E-2</v>
      </c>
      <c r="FA76" s="20" t="str">
        <f>IF(VLOOKUP(BK76,Fundamentus!A:U,21,FALSE)&lt;0,"Negativo",IF(VLOOKUP(BK76,Fundamentus!A:U,21,FALSE)&lt;0.05,"Fraco",IF(VLOOKUP(BK76,Fundamentus!A:U,21,FALSE)&lt;0.1,"Bom",IF(VLOOKUP(BK76,Fundamentus!A:U,21,FALSE)&gt;0.1,"Muito bom","n/a"))))</f>
        <v>Fraco</v>
      </c>
      <c r="FC76" s="37" t="str">
        <f>IF(VLOOKUP(BK76,Fundamentus!A:U,15,FALSE)&gt;1,"Bom",IF(VLOOKUP(BK76,Fundamentus!A:U,15,FALSE)&lt;1,"Ruim","n/a"))</f>
        <v>Ruim</v>
      </c>
      <c r="FD76" s="20" t="str">
        <f>IF(VLOOKUP(BK76,Fundamentus!A:U,20,FALSE)&lt;0.5,"Baixa",IF(VLOOKUP(BK76,Fundamentus!A:U,20,FALSE)&lt;1,"Moderada",IF(VLOOKUP(BK76,Fundamentus!A:U,20,FALSE)&lt;2,"Alerta",IF(VLOOKUP(BK76,Fundamentus!A:U,20,FALSE)&gt;2,"Alta","n/a"))))</f>
        <v>Baixa</v>
      </c>
      <c r="FE76" s="10"/>
    </row>
    <row r="77" spans="1:161" s="2" customFormat="1" ht="11.25" hidden="1"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8">
        <v>14.07</v>
      </c>
      <c r="BC77" s="62">
        <v>15.38</v>
      </c>
      <c r="BD77" s="62">
        <v>14.57</v>
      </c>
      <c r="BE77" s="62">
        <v>14.62</v>
      </c>
      <c r="BF77" s="62">
        <v>14.42</v>
      </c>
      <c r="BG77" s="81">
        <v>14.65</v>
      </c>
      <c r="BH77" s="62">
        <v>14.05</v>
      </c>
      <c r="BI77" s="62">
        <v>14.1</v>
      </c>
      <c r="BJ77" s="62" cm="1">
        <f t="array" aca="1" ref="BJ77" ca="1">_FV(EH77,"Preço")</f>
        <v>14.46</v>
      </c>
      <c r="BK77" s="83" t="s">
        <v>74</v>
      </c>
      <c r="BL77" s="44" cm="1">
        <f t="array" aca="1" ref="BL77" ca="1">_FV(EH77,"Média de volume",TRUE)</f>
        <v>11460</v>
      </c>
      <c r="BM77" s="44">
        <v>13400</v>
      </c>
      <c r="BN77" s="44" cm="1">
        <f t="array" aca="1" ref="BN77" ca="1">_FV(EH77,"Volume")</f>
        <v>6100</v>
      </c>
      <c r="BO77" s="32" cm="1">
        <f t="array" aca="1" ref="BO77" ca="1">_FV(EH77,"Beta")</f>
        <v>0.55900000000000005</v>
      </c>
      <c r="BP77" s="86" cm="1">
        <f t="array" aca="1" ref="BP77" ca="1">_FV(EH77,"Variação (%)",TRUE)</f>
        <v>2.5531999999999999E-2</v>
      </c>
      <c r="BQ77" s="48"/>
      <c r="BR77" s="48"/>
      <c r="BT77" s="20" cm="1">
        <f t="array" aca="1" ref="BT77" ca="1">_FV(EH77,"Baixo")</f>
        <v>14.25</v>
      </c>
      <c r="BU77" s="20" cm="1">
        <f t="array" aca="1" ref="BU77" ca="1">_FV(EH77,"Alto")</f>
        <v>14.55</v>
      </c>
      <c r="BV77" s="32"/>
      <c r="BW77" s="73">
        <f ca="1">SQRT(22.5*(BJ77/VLOOKUP(BK77,Fundamentus!A:U,3,FALSE))*(BJ77/VLOOKUP(BK77,Fundamentus!A:U,4,FALSE)))</f>
        <v>37.141282175778507</v>
      </c>
      <c r="BY77" s="72">
        <f t="shared" ca="1" si="90"/>
        <v>2.5531914893617107E-2</v>
      </c>
      <c r="BZ77" s="8"/>
      <c r="CA77" s="71">
        <f t="shared" si="36"/>
        <v>9.85</v>
      </c>
      <c r="CB77" s="71">
        <f t="shared" si="91"/>
        <v>15.86</v>
      </c>
      <c r="CC77" s="71">
        <f t="shared" si="37"/>
        <v>13.324508196721316</v>
      </c>
      <c r="CD77" s="17"/>
      <c r="CE77" s="43">
        <f t="shared" si="96"/>
        <v>13.425817007654564</v>
      </c>
      <c r="CF77" s="18">
        <f>FORECAST("04/07/2025", BF77:BI77, $BF$5:$BI$5)</f>
        <v>13.914999999999964</v>
      </c>
      <c r="CG77" s="43">
        <f t="shared" si="97"/>
        <v>14.404182992345364</v>
      </c>
      <c r="CI77" s="17"/>
      <c r="CJ77" s="20">
        <f>CA77-2*(CB77-CM77)</f>
        <v>4.6700000000000035</v>
      </c>
      <c r="CK77" s="20">
        <f>CM77-(CB77-CA77)</f>
        <v>7.2600000000000016</v>
      </c>
      <c r="CL77" s="20">
        <f>2*CM77-CB77</f>
        <v>10.680000000000003</v>
      </c>
      <c r="CM77" s="48">
        <f>(CB77+CA77+BI77)/3</f>
        <v>13.270000000000001</v>
      </c>
      <c r="CN77" s="20">
        <f>2*CM77-CA77</f>
        <v>16.690000000000005</v>
      </c>
      <c r="CO77" s="20">
        <f>CM77+(CB77-CA77)</f>
        <v>19.28</v>
      </c>
      <c r="CP77" s="20">
        <f>CB77+2*(CM77-CA77)</f>
        <v>22.700000000000003</v>
      </c>
      <c r="CQ77" s="2" cm="1">
        <f t="array" aca="1" ref="CQ77" ca="1">MAX(_xlfn._xlws.FILTER(CJ77:CP77,CJ77:CP77&lt;BJ77))</f>
        <v>13.270000000000001</v>
      </c>
      <c r="CR77" s="2" cm="1">
        <f t="array" aca="1" ref="CR77" ca="1">MIN(_xlfn._xlws.FILTER($CJ77:$CP77,$CJ77:$CP77&gt;BJ77))</f>
        <v>16.690000000000005</v>
      </c>
      <c r="CS77" s="19">
        <f t="shared" ca="1" si="72"/>
        <v>0.25772418990203483</v>
      </c>
      <c r="CT77" s="23">
        <f t="shared" ca="1" si="73"/>
        <v>-0.12886209495101741</v>
      </c>
      <c r="CU77" s="23">
        <f t="shared" ca="1" si="74"/>
        <v>-8.5908063300678281E-2</v>
      </c>
      <c r="CV77" s="23">
        <f t="shared" ca="1" si="75"/>
        <v>-5.1544837980406967E-2</v>
      </c>
      <c r="CW77" s="23">
        <f t="shared" ca="1" si="76"/>
        <v>-2.8636021100226092E-2</v>
      </c>
      <c r="CX77" s="23">
        <f t="shared" ca="1" si="77"/>
        <v>-1.5160246464825578E-2</v>
      </c>
      <c r="CY77" s="23">
        <f t="shared" ca="1" si="78"/>
        <v>-7.809823936425298E-3</v>
      </c>
      <c r="CZ77" s="23">
        <f t="shared" ca="1" si="79"/>
        <v>-3.9649875369543817E-3</v>
      </c>
      <c r="DA77" s="24">
        <f t="shared" ca="1" si="80"/>
        <v>3.9649875369543817E-3</v>
      </c>
      <c r="DB77" s="24">
        <f t="shared" ca="1" si="81"/>
        <v>7.809823936425298E-3</v>
      </c>
      <c r="DC77" s="24">
        <f t="shared" ca="1" si="82"/>
        <v>1.5160246464825578E-2</v>
      </c>
      <c r="DD77" s="24">
        <f t="shared" ca="1" si="83"/>
        <v>2.8636021100226092E-2</v>
      </c>
      <c r="DE77" s="24">
        <f t="shared" ca="1" si="84"/>
        <v>5.1544837980406967E-2</v>
      </c>
      <c r="DF77" s="24">
        <f t="shared" ca="1" si="85"/>
        <v>8.5908063300678281E-2</v>
      </c>
      <c r="DG77" s="24">
        <f t="shared" ca="1" si="86"/>
        <v>0.12886209495101741</v>
      </c>
      <c r="DI77" s="19" cm="1">
        <f t="array" aca="1" ref="DI77" ca="1">MAX(_xlfn._xlws.FILTER(CT77:DG77,CT77:DG77&lt;BP77))</f>
        <v>1.5160246464825578E-2</v>
      </c>
      <c r="DJ77" s="19" cm="1">
        <f t="array" aca="1" ref="DJ77" ca="1">MIN(_xlfn._xlws.FILTER(CT77:DG77,CT77:DG77&gt;BP77))</f>
        <v>2.8636021100226092E-2</v>
      </c>
      <c r="DK77" s="2" cm="1">
        <f t="array" aca="1" ref="DK77" ca="1">_FV(EH77,"Fechamento anterior",TRUE)</f>
        <v>14.1</v>
      </c>
      <c r="DL77" s="36">
        <f ca="1">(BJ77-DM77)/(DN77-DM77)</f>
        <v>0.76965285554312035</v>
      </c>
      <c r="DM77" s="18">
        <f t="shared" ca="1" si="87"/>
        <v>14.31375947515404</v>
      </c>
      <c r="DN77" s="18">
        <f t="shared" ca="1" si="88"/>
        <v>14.503767897513187</v>
      </c>
      <c r="DO77" s="9"/>
      <c r="DP77" s="9"/>
      <c r="DQ77" s="94">
        <v>1.5118997643159576E-2</v>
      </c>
      <c r="DR77" s="94">
        <v>8.2467259871779486E-3</v>
      </c>
      <c r="DS77" s="94">
        <v>8.2412136921552158E-3</v>
      </c>
      <c r="DT77" s="94">
        <f t="shared" ca="1" si="92"/>
        <v>1.3475774635400515E-2</v>
      </c>
      <c r="DU77" s="87">
        <f ca="1">(BJ77-CF77)/(CF77-CE77)</f>
        <v>1.1141025107741811</v>
      </c>
      <c r="DV77" s="46"/>
      <c r="DW77" s="43">
        <f>_xlfn.STDEV.P(BF77:BI77)</f>
        <v>0.24459149617270018</v>
      </c>
      <c r="DX77" s="76">
        <f ca="1">BO77-$DT$2</f>
        <v>-0.43810000000000004</v>
      </c>
      <c r="DY77" s="76">
        <f ca="1">BO77-BP77*100</f>
        <v>-1.9941999999999998</v>
      </c>
      <c r="DZ77" s="101"/>
      <c r="EA77" s="100">
        <v>-0.18469999999999986</v>
      </c>
      <c r="EB77" s="107">
        <v>-1.2564000000000002</v>
      </c>
      <c r="EC77" s="107">
        <v>-2.5777000000000001</v>
      </c>
      <c r="ED77" s="98">
        <f t="shared" ca="1" si="93"/>
        <v>1.5560999999999998</v>
      </c>
      <c r="EE77" s="66"/>
      <c r="EF77" s="66"/>
      <c r="EH77" s="2" t="e" vm="77">
        <v>#VALUE!</v>
      </c>
      <c r="EJ77" s="10" cm="1">
        <f t="array" aca="1" ref="EJ77" ca="1">_FV(EH77,"Ações em circulação",TRUE)</f>
        <v>22500000</v>
      </c>
      <c r="EK77" s="21">
        <f>VLOOKUP(BK77,Fundamentus!A:U,5,FALSE)</f>
        <v>0.56100000000000005</v>
      </c>
      <c r="EL77" s="2">
        <f ca="1">(BJ77*EJ77)/EK77</f>
        <v>579946524.06417108</v>
      </c>
      <c r="EM77" s="20">
        <v>91216443.85026738</v>
      </c>
      <c r="EN77" s="20">
        <f t="shared" ca="1" si="94"/>
        <v>93545374.331550792</v>
      </c>
      <c r="EP77" s="19">
        <f t="shared" ca="1" si="89"/>
        <v>2.5531914893616836E-2</v>
      </c>
      <c r="EQ77" s="40" t="str">
        <f>IF(VLOOKUP(BK77,Fundamentus!A:U,3,FALSE)&lt;15,"Bom",IF(VLOOKUP(BK77,Fundamentus!A:U,3,FALSE)&gt;15,"Ruim","n/a"))</f>
        <v>Bom</v>
      </c>
      <c r="ER77" s="36" t="str">
        <f>IF(VLOOKUP(BK77,Fundamentus!A:U,4,FALSE)&lt;1,"Baixo",IF(VLOOKUP(BK77,Fundamentus!A:U,4,FALSE)&lt;1.5,"Moderado",IF(VLOOKUP(BK77,Fundamentus!A:U,4,FALSE)&gt;1.5,"Alto","n/a")))</f>
        <v>Baixo</v>
      </c>
      <c r="ES77" s="20" t="str">
        <f>IF(VLOOKUP(BK77,Fundamentus!A:U,8,FALSE)&lt;0,"Risco elevado",IF(VLOOKUP(BK77,Fundamentus!A:U,8,FALSE)&lt;1,"Saudável",IF(VLOOKUP(BK77,Fundamentus!A:U,8,FALSE)&lt;3,"Estável",IF(VLOOKUP(BK77,Fundamentus!A:U,8,FALSE)&gt;3,"Alerta","n/a"))))</f>
        <v>Alerta</v>
      </c>
      <c r="ET77" s="36" t="str">
        <f t="shared" si="95"/>
        <v>Ruim</v>
      </c>
      <c r="EU77" s="20" t="str">
        <f>IF(VLOOKUP(BK77,Fundamentus!A:U,12,FALSE)&lt;2,"Subvalorizada",IF(VLOOKUP(BK77,Fundamentus!A:U,12,FALSE)&lt;6,"Muita barata",IF(VLOOKUP(BK77,Fundamentus!A:U,12,FALSE)&lt;6,"Barata",IF(VLOOKUP(BK77,Fundamentus!A:U,12,FALSE)&lt;8,"Atrativa",IF(VLOOKUP(BK77,Fundamentus!A:U,12,FALSE)&gt;8,"Supervalorizada","n/a")))))</f>
        <v>Muita barata</v>
      </c>
      <c r="EW77" s="20" t="str">
        <f>IF(VLOOKUP(BK77,Fundamentus!A:U,17,FALSE)&lt;0.1,"Fraco retorno",IF(VLOOKUP(BK77,Fundamentus!A:U,17,FALSE)&gt;0.1,"Bom retorno","n/a"))</f>
        <v>Bom retorno</v>
      </c>
      <c r="EX77" s="20" t="str">
        <f>IF(VLOOKUP(BK77,Fundamentus!A:U,16,FALSE)&lt;0.1,"Ineficiente",IF(VLOOKUP(BK77,Fundamentus!A:U,16,FALSE)&gt;0.1,"Eficiente","n/a"))</f>
        <v>Eficiente</v>
      </c>
      <c r="EY77" s="41" t="str">
        <f>IF(VLOOKUP(BK77,Fundamentus!A:U,16,FALSE)&lt;0.1,"Oper. Ineficiente",IF(VLOOKUP(BK77,Fundamentus!A:U,16,FALSE)&gt;0.1,"Oper.Eficiente","n/a"))</f>
        <v>Oper.Eficiente</v>
      </c>
      <c r="EZ77" s="42">
        <f>VLOOKUP(BK77,Fundamentus!A:U,14,FALSE)</f>
        <v>0.1613</v>
      </c>
      <c r="FA77" s="20" t="str">
        <f>IF(VLOOKUP(BK77,Fundamentus!A:U,21,FALSE)&lt;0,"Negativo",IF(VLOOKUP(BK77,Fundamentus!A:U,21,FALSE)&lt;0.05,"Fraco",IF(VLOOKUP(BK77,Fundamentus!A:U,21,FALSE)&lt;0.1,"Bom",IF(VLOOKUP(BK77,Fundamentus!A:U,21,FALSE)&gt;0.1,"Muito bom","n/a"))))</f>
        <v>Muito bom</v>
      </c>
      <c r="FC77" s="37" t="str">
        <f>IF(VLOOKUP(BK77,Fundamentus!A:U,15,FALSE)&gt;1,"Bom",IF(VLOOKUP(BK77,Fundamentus!A:U,15,FALSE)&lt;1,"Ruim","n/a"))</f>
        <v>Bom</v>
      </c>
      <c r="FD77" s="20" t="str">
        <f>IF(VLOOKUP(BK77,Fundamentus!A:U,20,FALSE)&lt;0.5,"Baixa",IF(VLOOKUP(BK77,Fundamentus!A:U,20,FALSE)&lt;1,"Moderada",IF(VLOOKUP(BK77,Fundamentus!A:U,20,FALSE)&lt;2,"Alerta",IF(VLOOKUP(BK77,Fundamentus!A:U,20,FALSE)&gt;2,"Alta","n/a"))))</f>
        <v>Baixa</v>
      </c>
      <c r="FE77" s="10"/>
    </row>
    <row r="78" spans="1:161" s="2" customFormat="1" ht="11.25" hidden="1"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8">
        <v>5.64</v>
      </c>
      <c r="BC78" s="62">
        <v>5.39</v>
      </c>
      <c r="BD78" s="62">
        <v>5.28</v>
      </c>
      <c r="BE78" s="62">
        <v>5.39</v>
      </c>
      <c r="BF78" s="62">
        <v>5.32</v>
      </c>
      <c r="BG78" s="81">
        <v>5.5</v>
      </c>
      <c r="BH78" s="62">
        <v>5.38</v>
      </c>
      <c r="BI78" s="62">
        <v>5.4</v>
      </c>
      <c r="BJ78" s="62" cm="1">
        <f t="array" aca="1" ref="BJ78" ca="1">_FV(EH78,"Preço")</f>
        <v>5.43</v>
      </c>
      <c r="BK78" s="83" t="s">
        <v>75</v>
      </c>
      <c r="BL78" s="44" cm="1">
        <f t="array" aca="1" ref="BL78" ca="1">_FV(EH78,"Média de volume",TRUE)</f>
        <v>1592950</v>
      </c>
      <c r="BM78" s="44">
        <v>789600</v>
      </c>
      <c r="BN78" s="44" cm="1">
        <f t="array" aca="1" ref="BN78" ca="1">_FV(EH78,"Volume")</f>
        <v>16305900</v>
      </c>
      <c r="BO78" s="32" cm="1">
        <f t="array" aca="1" ref="BO78" ca="1">_FV(EH78,"Beta")</f>
        <v>0.85429999999999995</v>
      </c>
      <c r="BP78" s="86" cm="1">
        <f t="array" aca="1" ref="BP78" ca="1">_FV(EH78,"Variação (%)",TRUE)</f>
        <v>5.5560000000000002E-3</v>
      </c>
      <c r="BQ78" s="48"/>
      <c r="BR78" s="48"/>
      <c r="BT78" s="20" cm="1">
        <f t="array" aca="1" ref="BT78" ca="1">_FV(EH78,"Baixo")</f>
        <v>5.29</v>
      </c>
      <c r="BU78" s="20" cm="1">
        <f t="array" aca="1" ref="BU78" ca="1">_FV(EH78,"Alto")</f>
        <v>5.49</v>
      </c>
      <c r="BV78" s="32"/>
      <c r="BW78" s="73">
        <f ca="1">SQRT(22.5*(BJ78/VLOOKUP(BK78,Fundamentus!A:U,3,FALSE))*(BJ78/VLOOKUP(BK78,Fundamentus!A:U,4,FALSE)))</f>
        <v>8.6727493698741842</v>
      </c>
      <c r="BY78" s="72">
        <f t="shared" ca="1" si="90"/>
        <v>5.5555555555554369E-3</v>
      </c>
      <c r="BZ78" s="8"/>
      <c r="CA78" s="71">
        <f t="shared" ref="CA78:CA141" si="98">MIN(A78:BI78)</f>
        <v>5.01</v>
      </c>
      <c r="CB78" s="71">
        <f t="shared" si="91"/>
        <v>6.44</v>
      </c>
      <c r="CC78" s="71">
        <f t="shared" ref="CC78:CC141" si="99">AVERAGE(A78:BI78)</f>
        <v>5.6496721311475389</v>
      </c>
      <c r="CD78" s="17"/>
      <c r="CE78" s="43">
        <f t="shared" si="96"/>
        <v>5.3003851860318498</v>
      </c>
      <c r="CF78" s="18">
        <f>FORECAST("04/07/2025", BF78:BI78, $BF$5:$BI$5)</f>
        <v>5.4300000000000068</v>
      </c>
      <c r="CG78" s="43">
        <f t="shared" si="97"/>
        <v>5.5596148139681638</v>
      </c>
      <c r="CI78" s="17"/>
      <c r="CJ78" s="20">
        <f>CA78-2*(CB78-CM78)</f>
        <v>3.3633333333333333</v>
      </c>
      <c r="CK78" s="20">
        <f>CM78-(CB78-CA78)</f>
        <v>4.1866666666666665</v>
      </c>
      <c r="CL78" s="20">
        <f>2*CM78-CB78</f>
        <v>4.7933333333333339</v>
      </c>
      <c r="CM78" s="48">
        <f>(CB78+CA78+BI78)/3</f>
        <v>5.6166666666666671</v>
      </c>
      <c r="CN78" s="20">
        <f>2*CM78-CA78</f>
        <v>6.2233333333333345</v>
      </c>
      <c r="CO78" s="20">
        <f>CM78+(CB78-CA78)</f>
        <v>7.0466666666666677</v>
      </c>
      <c r="CP78" s="20">
        <f>CB78+2*(CM78-CA78)</f>
        <v>7.6533333333333351</v>
      </c>
      <c r="CQ78" s="2" cm="1">
        <f t="array" aca="1" ref="CQ78" ca="1">MAX(_xlfn._xlws.FILTER(CJ78:CP78,CJ78:CP78&lt;BJ78))</f>
        <v>4.7933333333333339</v>
      </c>
      <c r="CR78" s="2" cm="1">
        <f t="array" aca="1" ref="CR78" ca="1">MIN(_xlfn._xlws.FILTER($CJ78:$CP78,$CJ78:$CP78&gt;BJ78))</f>
        <v>5.6166666666666671</v>
      </c>
      <c r="CS78" s="19">
        <f t="shared" ca="1" si="72"/>
        <v>0.17176634214186359</v>
      </c>
      <c r="CT78" s="23">
        <f t="shared" ca="1" si="73"/>
        <v>-8.5883171070931796E-2</v>
      </c>
      <c r="CU78" s="23">
        <f t="shared" ca="1" si="74"/>
        <v>-5.7255447380621195E-2</v>
      </c>
      <c r="CV78" s="23">
        <f t="shared" ca="1" si="75"/>
        <v>-3.4353268428372719E-2</v>
      </c>
      <c r="CW78" s="23">
        <f t="shared" ca="1" si="76"/>
        <v>-1.9085149126873733E-2</v>
      </c>
      <c r="CX78" s="23">
        <f t="shared" ca="1" si="77"/>
        <v>-1.0103902478933153E-2</v>
      </c>
      <c r="CY78" s="23">
        <f t="shared" ca="1" si="78"/>
        <v>-5.2050406709655637E-3</v>
      </c>
      <c r="CZ78" s="23">
        <f t="shared" ca="1" si="79"/>
        <v>-2.6425591098748246E-3</v>
      </c>
      <c r="DA78" s="24">
        <f t="shared" ca="1" si="80"/>
        <v>2.6425591098748246E-3</v>
      </c>
      <c r="DB78" s="24">
        <f t="shared" ca="1" si="81"/>
        <v>5.2050406709655637E-3</v>
      </c>
      <c r="DC78" s="24">
        <f t="shared" ca="1" si="82"/>
        <v>1.0103902478933153E-2</v>
      </c>
      <c r="DD78" s="24">
        <f t="shared" ca="1" si="83"/>
        <v>1.9085149126873733E-2</v>
      </c>
      <c r="DE78" s="24">
        <f t="shared" ca="1" si="84"/>
        <v>3.4353268428372719E-2</v>
      </c>
      <c r="DF78" s="24">
        <f t="shared" ca="1" si="85"/>
        <v>5.7255447380621195E-2</v>
      </c>
      <c r="DG78" s="24">
        <f t="shared" ca="1" si="86"/>
        <v>8.5883171070931796E-2</v>
      </c>
      <c r="DI78" s="19" cm="1">
        <f t="array" aca="1" ref="DI78" ca="1">MAX(_xlfn._xlws.FILTER(CT78:DG78,CT78:DG78&lt;BP78))</f>
        <v>5.2050406709655637E-3</v>
      </c>
      <c r="DJ78" s="19" cm="1">
        <f t="array" aca="1" ref="DJ78" ca="1">MIN(_xlfn._xlws.FILTER(CT78:DG78,CT78:DG78&gt;BP78))</f>
        <v>1.0103902478933153E-2</v>
      </c>
      <c r="DK78" s="2" cm="1">
        <f t="array" aca="1" ref="DK78" ca="1">_FV(EH78,"Fechamento anterior",TRUE)</f>
        <v>5.4</v>
      </c>
      <c r="DL78" s="36">
        <f ca="1">(BJ78-DM78)/(DN78-DM78)</f>
        <v>7.1550269905505559E-2</v>
      </c>
      <c r="DM78" s="18">
        <f t="shared" ca="1" si="87"/>
        <v>5.4281072196232145</v>
      </c>
      <c r="DN78" s="18">
        <f t="shared" ca="1" si="88"/>
        <v>5.4545610733862393</v>
      </c>
      <c r="DO78" s="9"/>
      <c r="DP78" s="9"/>
      <c r="DQ78" s="94">
        <v>3.4687093510622951E-3</v>
      </c>
      <c r="DR78" s="94">
        <v>1.081081081081082E-2</v>
      </c>
      <c r="DS78" s="94">
        <v>4.6360482090329648E-3</v>
      </c>
      <c r="DT78" s="94">
        <f t="shared" ca="1" si="92"/>
        <v>4.8988618079675895E-3</v>
      </c>
      <c r="DU78" s="87">
        <f ca="1">(BJ78-CF78)/(CF78-CE78)</f>
        <v>-5.481956220950656E-14</v>
      </c>
      <c r="DV78" s="46"/>
      <c r="DW78" s="43">
        <f>_xlfn.STDEV.P(BF78:BI78)</f>
        <v>6.4807406984078525E-2</v>
      </c>
      <c r="DX78" s="76">
        <f ca="1">BO78-$DT$2</f>
        <v>-0.14280000000000015</v>
      </c>
      <c r="DY78" s="76">
        <f ca="1">BO78-BP78*100</f>
        <v>0.29869999999999997</v>
      </c>
      <c r="DZ78" s="101"/>
      <c r="EA78" s="100">
        <v>-0.43659999999999988</v>
      </c>
      <c r="EB78" s="107">
        <v>0.87149999999999994</v>
      </c>
      <c r="EC78" s="107">
        <v>0.55259999999999998</v>
      </c>
      <c r="ED78" s="98">
        <f t="shared" ca="1" si="93"/>
        <v>-0.44150000000000011</v>
      </c>
      <c r="EE78" s="66"/>
      <c r="EF78" s="66"/>
      <c r="EH78" s="2" t="e" vm="78">
        <v>#VALUE!</v>
      </c>
      <c r="EJ78" s="10" cm="1">
        <f t="array" aca="1" ref="EJ78" ca="1">_FV(EH78,"Ações em circulação",TRUE)</f>
        <v>902160000</v>
      </c>
      <c r="EK78" s="21">
        <f>VLOOKUP(BK78,Fundamentus!A:U,5,FALSE)</f>
        <v>1.87</v>
      </c>
      <c r="EL78" s="2">
        <f ca="1">(BJ78*EJ78)/EK78</f>
        <v>2619641069.5187163</v>
      </c>
      <c r="EM78" s="20">
        <v>696100866.73796785</v>
      </c>
      <c r="EN78" s="20">
        <f t="shared" ca="1" si="94"/>
        <v>699968093.775401</v>
      </c>
      <c r="EP78" s="19">
        <f t="shared" ca="1" si="89"/>
        <v>5.5555555555555358E-3</v>
      </c>
      <c r="EQ78" s="40" t="str">
        <f>IF(VLOOKUP(BK78,Fundamentus!A:U,3,FALSE)&lt;15,"Bom",IF(VLOOKUP(BK78,Fundamentus!A:U,3,FALSE)&gt;15,"Ruim","n/a"))</f>
        <v>Bom</v>
      </c>
      <c r="ER78" s="36" t="str">
        <f>IF(VLOOKUP(BK78,Fundamentus!A:U,4,FALSE)&lt;1,"Baixo",IF(VLOOKUP(BK78,Fundamentus!A:U,4,FALSE)&lt;1.5,"Moderado",IF(VLOOKUP(BK78,Fundamentus!A:U,4,FALSE)&gt;1.5,"Alto","n/a")))</f>
        <v>Moderado</v>
      </c>
      <c r="ES78" s="20" t="str">
        <f>IF(VLOOKUP(BK78,Fundamentus!A:U,8,FALSE)&lt;0,"Risco elevado",IF(VLOOKUP(BK78,Fundamentus!A:U,8,FALSE)&lt;1,"Saudável",IF(VLOOKUP(BK78,Fundamentus!A:U,8,FALSE)&lt;3,"Estável",IF(VLOOKUP(BK78,Fundamentus!A:U,8,FALSE)&gt;3,"Alerta","n/a"))))</f>
        <v>Estável</v>
      </c>
      <c r="ET78" s="36" t="str">
        <f t="shared" si="95"/>
        <v>Bom</v>
      </c>
      <c r="EU78" s="20" t="str">
        <f>IF(VLOOKUP(BK78,Fundamentus!A:U,12,FALSE)&lt;2,"Subvalorizada",IF(VLOOKUP(BK78,Fundamentus!A:U,12,FALSE)&lt;6,"Muita barata",IF(VLOOKUP(BK78,Fundamentus!A:U,12,FALSE)&lt;6,"Barata",IF(VLOOKUP(BK78,Fundamentus!A:U,12,FALSE)&lt;8,"Atrativa",IF(VLOOKUP(BK78,Fundamentus!A:U,12,FALSE)&gt;8,"Supervalorizada","n/a")))))</f>
        <v>Atrativa</v>
      </c>
      <c r="EW78" s="20" t="str">
        <f>IF(VLOOKUP(BK78,Fundamentus!A:U,17,FALSE)&lt;0.1,"Fraco retorno",IF(VLOOKUP(BK78,Fundamentus!A:U,17,FALSE)&gt;0.1,"Bom retorno","n/a"))</f>
        <v>Bom retorno</v>
      </c>
      <c r="EX78" s="20" t="str">
        <f>IF(VLOOKUP(BK78,Fundamentus!A:U,16,FALSE)&lt;0.1,"Ineficiente",IF(VLOOKUP(BK78,Fundamentus!A:U,16,FALSE)&gt;0.1,"Eficiente","n/a"))</f>
        <v>Eficiente</v>
      </c>
      <c r="EY78" s="41" t="str">
        <f>IF(VLOOKUP(BK78,Fundamentus!A:U,16,FALSE)&lt;0.1,"Oper. Ineficiente",IF(VLOOKUP(BK78,Fundamentus!A:U,16,FALSE)&gt;0.1,"Oper.Eficiente","n/a"))</f>
        <v>Oper.Eficiente</v>
      </c>
      <c r="EZ78" s="42">
        <f>VLOOKUP(BK78,Fundamentus!A:U,14,FALSE)</f>
        <v>0.26719999999999999</v>
      </c>
      <c r="FA78" s="20" t="str">
        <f>IF(VLOOKUP(BK78,Fundamentus!A:U,21,FALSE)&lt;0,"Negativo",IF(VLOOKUP(BK78,Fundamentus!A:U,21,FALSE)&lt;0.05,"Fraco",IF(VLOOKUP(BK78,Fundamentus!A:U,21,FALSE)&lt;0.1,"Bom",IF(VLOOKUP(BK78,Fundamentus!A:U,21,FALSE)&gt;0.1,"Muito bom","n/a"))))</f>
        <v>Bom</v>
      </c>
      <c r="FC78" s="37" t="str">
        <f>IF(VLOOKUP(BK78,Fundamentus!A:U,15,FALSE)&gt;1,"Bom",IF(VLOOKUP(BK78,Fundamentus!A:U,15,FALSE)&lt;1,"Ruim","n/a"))</f>
        <v>Bom</v>
      </c>
      <c r="FD78" s="20" t="str">
        <f>IF(VLOOKUP(BK78,Fundamentus!A:U,20,FALSE)&lt;0.5,"Baixa",IF(VLOOKUP(BK78,Fundamentus!A:U,20,FALSE)&lt;1,"Moderada",IF(VLOOKUP(BK78,Fundamentus!A:U,20,FALSE)&lt;2,"Alerta",IF(VLOOKUP(BK78,Fundamentus!A:U,20,FALSE)&gt;2,"Alta","n/a"))))</f>
        <v>Baixa</v>
      </c>
      <c r="FE78" s="10"/>
    </row>
    <row r="79" spans="1:161" s="2" customFormat="1" ht="11.25" hidden="1"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8">
        <v>7.89</v>
      </c>
      <c r="BC79" s="62">
        <v>7.74</v>
      </c>
      <c r="BD79" s="62">
        <v>8.57</v>
      </c>
      <c r="BE79" s="62">
        <v>9.1</v>
      </c>
      <c r="BF79" s="62">
        <v>8.19</v>
      </c>
      <c r="BG79" s="81">
        <v>8.15</v>
      </c>
      <c r="BH79" s="62">
        <v>8.1999999999999993</v>
      </c>
      <c r="BI79" s="62">
        <v>8.07</v>
      </c>
      <c r="BJ79" s="62" cm="1">
        <f t="array" aca="1" ref="BJ79" ca="1">_FV(EH79,"Preço")</f>
        <v>8.07</v>
      </c>
      <c r="BK79" s="83" t="s">
        <v>76</v>
      </c>
      <c r="BL79" s="44" cm="1">
        <f t="array" aca="1" ref="BL79" ca="1">_FV(EH79,"Média de volume",TRUE)</f>
        <v>944070</v>
      </c>
      <c r="BM79" s="44">
        <v>791800</v>
      </c>
      <c r="BN79" s="44" cm="1">
        <f t="array" aca="1" ref="BN79" ca="1">_FV(EH79,"Volume")</f>
        <v>299300</v>
      </c>
      <c r="BO79" s="32" cm="1">
        <f t="array" aca="1" ref="BO79" ca="1">_FV(EH79,"Beta")</f>
        <v>1.5394000000000001</v>
      </c>
      <c r="BP79" s="86" cm="1">
        <f t="array" aca="1" ref="BP79" ca="1">_FV(EH79,"Variação (%)",TRUE)</f>
        <v>0</v>
      </c>
      <c r="BQ79" s="48"/>
      <c r="BR79" s="48"/>
      <c r="BT79" s="20" cm="1">
        <f t="array" aca="1" ref="BT79" ca="1">_FV(EH79,"Baixo")</f>
        <v>7.99</v>
      </c>
      <c r="BU79" s="20" cm="1">
        <f t="array" aca="1" ref="BU79" ca="1">_FV(EH79,"Alto")</f>
        <v>8.1300000000000008</v>
      </c>
      <c r="BV79" s="32"/>
      <c r="BW79" s="73">
        <f ca="1">SQRT(22.5*(BJ79/VLOOKUP(BK79,Fundamentus!A:U,3,FALSE))*(BJ79/VLOOKUP(BK79,Fundamentus!A:U,4,FALSE)))</f>
        <v>9.0015551078496969</v>
      </c>
      <c r="BY79" s="72">
        <f t="shared" ca="1" si="90"/>
        <v>0</v>
      </c>
      <c r="BZ79" s="8"/>
      <c r="CA79" s="71">
        <f t="shared" si="98"/>
        <v>6.18</v>
      </c>
      <c r="CB79" s="71">
        <f t="shared" si="91"/>
        <v>10.72</v>
      </c>
      <c r="CC79" s="71">
        <f t="shared" si="99"/>
        <v>8.2099999999999955</v>
      </c>
      <c r="CD79" s="17"/>
      <c r="CE79" s="43">
        <f t="shared" si="96"/>
        <v>7.9726525525477241</v>
      </c>
      <c r="CF79" s="18">
        <f>FORECAST("04/07/2025", BF79:BI79, $BF$5:$BI$5)</f>
        <v>8.0750000000000171</v>
      </c>
      <c r="CG79" s="43">
        <f t="shared" si="97"/>
        <v>8.1773474474523091</v>
      </c>
      <c r="CI79" s="17"/>
      <c r="CJ79" s="20">
        <f>CA79-2*(CB79-CM79)</f>
        <v>1.3866666666666632</v>
      </c>
      <c r="CK79" s="20">
        <f>CM79-(CB79-CA79)</f>
        <v>3.7833333333333314</v>
      </c>
      <c r="CL79" s="20">
        <f>2*CM79-CB79</f>
        <v>5.9266666666666641</v>
      </c>
      <c r="CM79" s="48">
        <f>(CB79+CA79+BI79)/3</f>
        <v>8.3233333333333324</v>
      </c>
      <c r="CN79" s="20">
        <f>2*CM79-CA79</f>
        <v>10.466666666666665</v>
      </c>
      <c r="CO79" s="20">
        <f>CM79+(CB79-CA79)</f>
        <v>12.863333333333333</v>
      </c>
      <c r="CP79" s="20">
        <f>CB79+2*(CM79-CA79)</f>
        <v>15.006666666666666</v>
      </c>
      <c r="CQ79" s="2" cm="1">
        <f t="array" aca="1" ref="CQ79" ca="1">MAX(_xlfn._xlws.FILTER(CJ79:CP79,CJ79:CP79&lt;BJ79))</f>
        <v>5.9266666666666641</v>
      </c>
      <c r="CR79" s="2" cm="1">
        <f t="array" aca="1" ref="CR79" ca="1">MIN(_xlfn._xlws.FILTER($CJ79:$CP79,$CJ79:$CP79&gt;BJ79))</f>
        <v>8.3233333333333324</v>
      </c>
      <c r="CS79" s="19">
        <f t="shared" ca="1" si="72"/>
        <v>0.40438695163104654</v>
      </c>
      <c r="CT79" s="23">
        <f t="shared" ca="1" si="73"/>
        <v>-0.20219347581552327</v>
      </c>
      <c r="CU79" s="23">
        <f t="shared" ca="1" si="74"/>
        <v>-0.13479565054368217</v>
      </c>
      <c r="CV79" s="23">
        <f t="shared" ca="1" si="75"/>
        <v>-8.0877390326209303E-2</v>
      </c>
      <c r="CW79" s="23">
        <f t="shared" ca="1" si="76"/>
        <v>-4.4931883514560726E-2</v>
      </c>
      <c r="CX79" s="23">
        <f t="shared" ca="1" si="77"/>
        <v>-2.3787467743002739E-2</v>
      </c>
      <c r="CY79" s="23">
        <f t="shared" ca="1" si="78"/>
        <v>-1.2254150049425653E-2</v>
      </c>
      <c r="CZ79" s="23">
        <f t="shared" ca="1" si="79"/>
        <v>-6.2213377174007156E-3</v>
      </c>
      <c r="DA79" s="24">
        <f t="shared" ca="1" si="80"/>
        <v>6.2213377174007156E-3</v>
      </c>
      <c r="DB79" s="24">
        <f t="shared" ca="1" si="81"/>
        <v>1.2254150049425653E-2</v>
      </c>
      <c r="DC79" s="24">
        <f t="shared" ca="1" si="82"/>
        <v>2.3787467743002739E-2</v>
      </c>
      <c r="DD79" s="24">
        <f t="shared" ca="1" si="83"/>
        <v>4.4931883514560726E-2</v>
      </c>
      <c r="DE79" s="24">
        <f t="shared" ca="1" si="84"/>
        <v>8.0877390326209303E-2</v>
      </c>
      <c r="DF79" s="24">
        <f t="shared" ca="1" si="85"/>
        <v>0.13479565054368217</v>
      </c>
      <c r="DG79" s="24">
        <f t="shared" ca="1" si="86"/>
        <v>0.20219347581552327</v>
      </c>
      <c r="DI79" s="19" cm="1">
        <f t="array" aca="1" ref="DI79" ca="1">MAX(_xlfn._xlws.FILTER(CT79:DG79,CT79:DG79&lt;BP79))</f>
        <v>-6.2213377174007156E-3</v>
      </c>
      <c r="DJ79" s="19" cm="1">
        <f t="array" aca="1" ref="DJ79" ca="1">MIN(_xlfn._xlws.FILTER(CT79:DG79,CT79:DG79&gt;BP79))</f>
        <v>6.2213377174007156E-3</v>
      </c>
      <c r="DK79" s="2" cm="1">
        <f t="array" aca="1" ref="DK79" ca="1">_FV(EH79,"Fechamento anterior",TRUE)</f>
        <v>8.07</v>
      </c>
      <c r="DL79" s="36">
        <f ca="1">(BJ79-DM79)/(DN79-DM79)</f>
        <v>0.5</v>
      </c>
      <c r="DM79" s="18">
        <f t="shared" ca="1" si="87"/>
        <v>8.0197938046205763</v>
      </c>
      <c r="DN79" s="18">
        <f t="shared" ca="1" si="88"/>
        <v>8.1202061953794242</v>
      </c>
      <c r="DO79" s="9"/>
      <c r="DP79" s="9"/>
      <c r="DQ79" s="94">
        <v>9.0786779760163791E-3</v>
      </c>
      <c r="DR79" s="94">
        <v>1.4990471074274474E-2</v>
      </c>
      <c r="DS79" s="94">
        <v>2.0722670339038643E-2</v>
      </c>
      <c r="DT79" s="94">
        <f t="shared" ca="1" si="92"/>
        <v>1.2442675434801431E-2</v>
      </c>
      <c r="DU79" s="87">
        <f ca="1">(BJ79-CF79)/(CF79-CE79)</f>
        <v>-4.8853196874767302E-2</v>
      </c>
      <c r="DV79" s="46"/>
      <c r="DW79" s="43">
        <f>_xlfn.STDEV.P(BF79:BI79)</f>
        <v>5.1173723726146425E-2</v>
      </c>
      <c r="DX79" s="76">
        <f ca="1">BO79-$DT$2</f>
        <v>0.5423</v>
      </c>
      <c r="DY79" s="76">
        <f ca="1">BO79-BP79*100</f>
        <v>1.5394000000000001</v>
      </c>
      <c r="DZ79" s="101"/>
      <c r="EA79" s="100">
        <v>0.78349999999999986</v>
      </c>
      <c r="EB79" s="107">
        <v>0.15629999999999988</v>
      </c>
      <c r="EC79" s="107">
        <v>-0.55709999999999993</v>
      </c>
      <c r="ED79" s="98">
        <f t="shared" ca="1" si="93"/>
        <v>-0.9971000000000001</v>
      </c>
      <c r="EE79" s="66"/>
      <c r="EF79" s="66"/>
      <c r="EH79" s="2" t="e" vm="79">
        <v>#VALUE!</v>
      </c>
      <c r="EJ79" s="10" cm="1">
        <f t="array" aca="1" ref="EJ79" ca="1">_FV(EH79,"Ações em circulação",TRUE)</f>
        <v>611509500</v>
      </c>
      <c r="EK79" s="21">
        <f>VLOOKUP(BK79,Fundamentus!A:U,5,FALSE)</f>
        <v>0</v>
      </c>
      <c r="EL79" s="2" t="e">
        <f ca="1">(BJ79*EJ79)/EK79</f>
        <v>#DIV/0!</v>
      </c>
      <c r="EM79" s="20" t="e">
        <v>#DIV/0!</v>
      </c>
      <c r="EN79" s="20" t="e">
        <f t="shared" ca="1" si="94"/>
        <v>#DIV/0!</v>
      </c>
      <c r="EP79" s="19" t="e">
        <f t="shared" ca="1" si="89"/>
        <v>#DIV/0!</v>
      </c>
      <c r="EQ79" s="40" t="str">
        <f>IF(VLOOKUP(BK79,Fundamentus!A:U,3,FALSE)&lt;15,"Bom",IF(VLOOKUP(BK79,Fundamentus!A:U,3,FALSE)&gt;15,"Ruim","n/a"))</f>
        <v>Bom</v>
      </c>
      <c r="ER79" s="36" t="str">
        <f>IF(VLOOKUP(BK79,Fundamentus!A:U,4,FALSE)&lt;1,"Baixo",IF(VLOOKUP(BK79,Fundamentus!A:U,4,FALSE)&lt;1.5,"Moderado",IF(VLOOKUP(BK79,Fundamentus!A:U,4,FALSE)&gt;1.5,"Alto","n/a")))</f>
        <v>Moderado</v>
      </c>
      <c r="ES79" s="20" t="str">
        <f>IF(VLOOKUP(BK79,Fundamentus!A:U,8,FALSE)&lt;0,"Risco elevado",IF(VLOOKUP(BK79,Fundamentus!A:U,8,FALSE)&lt;1,"Saudável",IF(VLOOKUP(BK79,Fundamentus!A:U,8,FALSE)&lt;3,"Estável",IF(VLOOKUP(BK79,Fundamentus!A:U,8,FALSE)&gt;3,"Alerta","n/a"))))</f>
        <v>Saudável</v>
      </c>
      <c r="ET79" s="36" t="str">
        <f t="shared" si="95"/>
        <v>Ruim</v>
      </c>
      <c r="EU79" s="20" t="str">
        <f>IF(VLOOKUP(BK79,Fundamentus!A:U,12,FALSE)&lt;2,"Subvalorizada",IF(VLOOKUP(BK79,Fundamentus!A:U,12,FALSE)&lt;6,"Muita barata",IF(VLOOKUP(BK79,Fundamentus!A:U,12,FALSE)&lt;6,"Barata",IF(VLOOKUP(BK79,Fundamentus!A:U,12,FALSE)&lt;8,"Atrativa",IF(VLOOKUP(BK79,Fundamentus!A:U,12,FALSE)&gt;8,"Supervalorizada","n/a")))))</f>
        <v>Subvalorizada</v>
      </c>
      <c r="EW79" s="20" t="str">
        <f>IF(VLOOKUP(BK79,Fundamentus!A:U,17,FALSE)&lt;0.1,"Fraco retorno",IF(VLOOKUP(BK79,Fundamentus!A:U,17,FALSE)&gt;0.1,"Bom retorno","n/a"))</f>
        <v>Bom retorno</v>
      </c>
      <c r="EX79" s="20" t="str">
        <f>IF(VLOOKUP(BK79,Fundamentus!A:U,16,FALSE)&lt;0.1,"Ineficiente",IF(VLOOKUP(BK79,Fundamentus!A:U,16,FALSE)&gt;0.1,"Eficiente","n/a"))</f>
        <v>Ineficiente</v>
      </c>
      <c r="EY79" s="41" t="str">
        <f>IF(VLOOKUP(BK79,Fundamentus!A:U,16,FALSE)&lt;0.1,"Oper. Ineficiente",IF(VLOOKUP(BK79,Fundamentus!A:U,16,FALSE)&gt;0.1,"Oper.Eficiente","n/a"))</f>
        <v>Oper. Ineficiente</v>
      </c>
      <c r="EZ79" s="42">
        <f>VLOOKUP(BK79,Fundamentus!A:U,14,FALSE)</f>
        <v>0</v>
      </c>
      <c r="FA79" s="20" t="str">
        <f>IF(VLOOKUP(BK79,Fundamentus!A:U,21,FALSE)&lt;0,"Negativo",IF(VLOOKUP(BK79,Fundamentus!A:U,21,FALSE)&lt;0.05,"Fraco",IF(VLOOKUP(BK79,Fundamentus!A:U,21,FALSE)&lt;0.1,"Bom",IF(VLOOKUP(BK79,Fundamentus!A:U,21,FALSE)&gt;0.1,"Muito bom","n/a"))))</f>
        <v>Fraco</v>
      </c>
      <c r="FC79" s="37" t="str">
        <f>IF(VLOOKUP(BK79,Fundamentus!A:U,15,FALSE)&gt;1,"Bom",IF(VLOOKUP(BK79,Fundamentus!A:U,15,FALSE)&lt;1,"Ruim","n/a"))</f>
        <v>Ruim</v>
      </c>
      <c r="FD79" s="20" t="str">
        <f>IF(VLOOKUP(BK79,Fundamentus!A:U,20,FALSE)&lt;0.5,"Baixa",IF(VLOOKUP(BK79,Fundamentus!A:U,20,FALSE)&lt;1,"Moderada",IF(VLOOKUP(BK79,Fundamentus!A:U,20,FALSE)&lt;2,"Alerta",IF(VLOOKUP(BK79,Fundamentus!A:U,20,FALSE)&gt;2,"Alta","n/a"))))</f>
        <v>Baixa</v>
      </c>
      <c r="FE79" s="10"/>
    </row>
    <row r="80" spans="1:161" s="2" customFormat="1" ht="11.25" hidden="1"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8">
        <v>42.21</v>
      </c>
      <c r="BC80" s="62">
        <v>44.17</v>
      </c>
      <c r="BD80" s="62">
        <v>43.69</v>
      </c>
      <c r="BE80" s="62">
        <v>42.35</v>
      </c>
      <c r="BF80" s="62">
        <v>42.57</v>
      </c>
      <c r="BG80" s="81">
        <v>42.39</v>
      </c>
      <c r="BH80" s="62">
        <v>41.64</v>
      </c>
      <c r="BI80" s="62">
        <v>42.35</v>
      </c>
      <c r="BJ80" s="62" cm="1">
        <f t="array" aca="1" ref="BJ80" ca="1">_FV(EH80,"Preço")</f>
        <v>42.69</v>
      </c>
      <c r="BK80" s="83" t="s">
        <v>77</v>
      </c>
      <c r="BL80" s="44" cm="1">
        <f t="array" aca="1" ref="BL80" ca="1">_FV(EH80,"Média de volume",TRUE)</f>
        <v>6589230</v>
      </c>
      <c r="BM80" s="44">
        <v>6980400</v>
      </c>
      <c r="BN80" s="44" cm="1">
        <f t="array" aca="1" ref="BN80" ca="1">_FV(EH80,"Volume")</f>
        <v>4915900</v>
      </c>
      <c r="BO80" s="32" cm="1">
        <f t="array" aca="1" ref="BO80" ca="1">_FV(EH80,"Beta")</f>
        <v>0.45469999999999999</v>
      </c>
      <c r="BP80" s="86" cm="1">
        <f t="array" aca="1" ref="BP80" ca="1">_FV(EH80,"Variação (%)",TRUE)</f>
        <v>8.0280000000000004E-3</v>
      </c>
      <c r="BQ80" s="48"/>
      <c r="BR80" s="48"/>
      <c r="BT80" s="20" cm="1">
        <f t="array" aca="1" ref="BT80" ca="1">_FV(EH80,"Baixo")</f>
        <v>42.23</v>
      </c>
      <c r="BU80" s="20" cm="1">
        <f t="array" aca="1" ref="BU80" ca="1">_FV(EH80,"Alto")</f>
        <v>43.13</v>
      </c>
      <c r="BV80" s="32"/>
      <c r="BW80" s="73">
        <f ca="1">SQRT(22.5*(BJ80/VLOOKUP(BK80,Fundamentus!A:U,3,FALSE))*(BJ80/VLOOKUP(BK80,Fundamentus!A:U,4,FALSE)))</f>
        <v>13.137182658182269</v>
      </c>
      <c r="BY80" s="72">
        <f t="shared" ca="1" si="90"/>
        <v>8.0283353010624867E-3</v>
      </c>
      <c r="BZ80" s="8"/>
      <c r="CA80" s="71">
        <f t="shared" si="98"/>
        <v>37.75</v>
      </c>
      <c r="CB80" s="71">
        <f t="shared" si="91"/>
        <v>57.87</v>
      </c>
      <c r="CC80" s="71">
        <f t="shared" si="99"/>
        <v>48.596639344262272</v>
      </c>
      <c r="CD80" s="17"/>
      <c r="CE80" s="43">
        <f t="shared" si="96"/>
        <v>41.175440277355023</v>
      </c>
      <c r="CF80" s="18">
        <f>FORECAST("04/07/2025", BF80:BI80, $BF$5:$BI$5)</f>
        <v>41.884999999999991</v>
      </c>
      <c r="CG80" s="43">
        <f t="shared" si="97"/>
        <v>42.594559722644959</v>
      </c>
      <c r="CI80" s="17"/>
      <c r="CJ80" s="20">
        <f>CA80-2*(CB80-CM80)</f>
        <v>13.990000000000009</v>
      </c>
      <c r="CK80" s="20">
        <f>CM80-(CB80-CA80)</f>
        <v>25.870000000000005</v>
      </c>
      <c r="CL80" s="20">
        <f>2*CM80-CB80</f>
        <v>34.110000000000007</v>
      </c>
      <c r="CM80" s="48">
        <f>(CB80+CA80+BI80)/3</f>
        <v>45.99</v>
      </c>
      <c r="CN80" s="20">
        <f>2*CM80-CA80</f>
        <v>54.230000000000004</v>
      </c>
      <c r="CO80" s="20">
        <f>CM80+(CB80-CA80)</f>
        <v>66.11</v>
      </c>
      <c r="CP80" s="20">
        <f>CB80+2*(CM80-CA80)</f>
        <v>74.349999999999994</v>
      </c>
      <c r="CQ80" s="2" cm="1">
        <f t="array" aca="1" ref="CQ80" ca="1">MAX(_xlfn._xlws.FILTER(CJ80:CP80,CJ80:CP80&lt;BJ80))</f>
        <v>34.110000000000007</v>
      </c>
      <c r="CR80" s="2" cm="1">
        <f t="array" aca="1" ref="CR80" ca="1">MIN(_xlfn._xlws.FILTER($CJ80:$CP80,$CJ80:$CP80&gt;BJ80))</f>
        <v>45.99</v>
      </c>
      <c r="CS80" s="19">
        <f t="shared" ca="1" si="72"/>
        <v>0.34828496042216339</v>
      </c>
      <c r="CT80" s="23">
        <f t="shared" ca="1" si="73"/>
        <v>-0.1741424802110817</v>
      </c>
      <c r="CU80" s="23">
        <f t="shared" ca="1" si="74"/>
        <v>-0.11609498680738779</v>
      </c>
      <c r="CV80" s="23">
        <f t="shared" ca="1" si="75"/>
        <v>-6.9656992084432684E-2</v>
      </c>
      <c r="CW80" s="23">
        <f t="shared" ca="1" si="76"/>
        <v>-3.8698328935795931E-2</v>
      </c>
      <c r="CX80" s="23">
        <f t="shared" ca="1" si="77"/>
        <v>-2.0487350613068434E-2</v>
      </c>
      <c r="CY80" s="23">
        <f t="shared" ca="1" si="78"/>
        <v>-1.0554089709762527E-2</v>
      </c>
      <c r="CZ80" s="23">
        <f t="shared" ca="1" si="79"/>
        <v>-5.3582301603409752E-3</v>
      </c>
      <c r="DA80" s="24">
        <f t="shared" ca="1" si="80"/>
        <v>5.3582301603409752E-3</v>
      </c>
      <c r="DB80" s="24">
        <f t="shared" ca="1" si="81"/>
        <v>1.0554089709762527E-2</v>
      </c>
      <c r="DC80" s="24">
        <f t="shared" ca="1" si="82"/>
        <v>2.0487350613068434E-2</v>
      </c>
      <c r="DD80" s="24">
        <f t="shared" ca="1" si="83"/>
        <v>3.8698328935795931E-2</v>
      </c>
      <c r="DE80" s="24">
        <f t="shared" ca="1" si="84"/>
        <v>6.9656992084432684E-2</v>
      </c>
      <c r="DF80" s="24">
        <f t="shared" ca="1" si="85"/>
        <v>0.11609498680738779</v>
      </c>
      <c r="DG80" s="24">
        <f t="shared" ca="1" si="86"/>
        <v>0.1741424802110817</v>
      </c>
      <c r="DI80" s="19" cm="1">
        <f t="array" aca="1" ref="DI80" ca="1">MAX(_xlfn._xlws.FILTER(CT80:DG80,CT80:DG80&lt;BP80))</f>
        <v>5.3582301603409752E-3</v>
      </c>
      <c r="DJ80" s="19" cm="1">
        <f t="array" aca="1" ref="DJ80" ca="1">MIN(_xlfn._xlws.FILTER(CT80:DG80,CT80:DG80&gt;BP80))</f>
        <v>1.0554089709762527E-2</v>
      </c>
      <c r="DK80" s="2" cm="1">
        <f t="array" aca="1" ref="DK80" ca="1">_FV(EH80,"Fechamento anterior",TRUE)</f>
        <v>42.35</v>
      </c>
      <c r="DL80" s="36">
        <f ca="1">(BJ80-DM80)/(DN80-DM80)</f>
        <v>0.51389093860683932</v>
      </c>
      <c r="DM80" s="18">
        <f t="shared" ca="1" si="87"/>
        <v>42.57692104729044</v>
      </c>
      <c r="DN80" s="18">
        <f t="shared" ca="1" si="88"/>
        <v>42.796965699208442</v>
      </c>
      <c r="DO80" s="9"/>
      <c r="DP80" s="9"/>
      <c r="DQ80" s="94">
        <v>2.1547955808010544E-2</v>
      </c>
      <c r="DR80" s="94">
        <v>1.2680143225483128E-2</v>
      </c>
      <c r="DS80" s="94">
        <v>1.069607084644679E-2</v>
      </c>
      <c r="DT80" s="94">
        <f t="shared" ca="1" si="92"/>
        <v>5.1958595494215522E-3</v>
      </c>
      <c r="DU80" s="87">
        <f ca="1">(BJ80-CF80)/(CF80-CE80)</f>
        <v>1.1345063344340818</v>
      </c>
      <c r="DV80" s="46"/>
      <c r="DW80" s="43">
        <f>_xlfn.STDEV.P(BF80:BI80)</f>
        <v>0.35477986132248263</v>
      </c>
      <c r="DX80" s="76">
        <f ca="1">BO80-$DT$2</f>
        <v>-0.5424000000000001</v>
      </c>
      <c r="DY80" s="76">
        <f ca="1">BO80-BP80*100</f>
        <v>-0.34810000000000008</v>
      </c>
      <c r="DZ80" s="101"/>
      <c r="EA80" s="100">
        <v>-2.3575999999999997</v>
      </c>
      <c r="EB80" s="107">
        <v>1.7973000000000001</v>
      </c>
      <c r="EC80" s="107">
        <v>-1.4907999999999999</v>
      </c>
      <c r="ED80" s="98">
        <f t="shared" ca="1" si="93"/>
        <v>-0.19430000000000003</v>
      </c>
      <c r="EE80" s="66"/>
      <c r="EF80" s="66"/>
      <c r="EH80" s="2" t="e" vm="80">
        <v>#VALUE!</v>
      </c>
      <c r="EJ80" s="10" cm="1">
        <f t="array" aca="1" ref="EJ80" ca="1">_FV(EH80,"Ações em circulação",TRUE)</f>
        <v>4197318000</v>
      </c>
      <c r="EK80" s="21">
        <f>VLOOKUP(BK80,Fundamentus!A:U,5,FALSE)</f>
        <v>4.4450000000000003</v>
      </c>
      <c r="EL80" s="2">
        <f ca="1">(BJ80*EJ80)/EK80</f>
        <v>40311249813.273338</v>
      </c>
      <c r="EM80" s="20">
        <v>6570389057.9055119</v>
      </c>
      <c r="EN80" s="20">
        <f t="shared" ca="1" si="94"/>
        <v>6623138344.3208094</v>
      </c>
      <c r="EP80" s="19">
        <f t="shared" ca="1" si="89"/>
        <v>8.0283353010623948E-3</v>
      </c>
      <c r="EQ80" s="40" t="str">
        <f>IF(VLOOKUP(BK80,Fundamentus!A:U,3,FALSE)&lt;15,"Bom",IF(VLOOKUP(BK80,Fundamentus!A:U,3,FALSE)&gt;15,"Ruim","n/a"))</f>
        <v>Ruim</v>
      </c>
      <c r="ER80" s="36" t="str">
        <f>IF(VLOOKUP(BK80,Fundamentus!A:U,4,FALSE)&lt;1,"Baixo",IF(VLOOKUP(BK80,Fundamentus!A:U,4,FALSE)&lt;1.5,"Moderado",IF(VLOOKUP(BK80,Fundamentus!A:U,4,FALSE)&gt;1.5,"Alto","n/a")))</f>
        <v>Alto</v>
      </c>
      <c r="ES80" s="20" t="str">
        <f>IF(VLOOKUP(BK80,Fundamentus!A:U,8,FALSE)&lt;0,"Risco elevado",IF(VLOOKUP(BK80,Fundamentus!A:U,8,FALSE)&lt;1,"Saudável",IF(VLOOKUP(BK80,Fundamentus!A:U,8,FALSE)&lt;3,"Estável",IF(VLOOKUP(BK80,Fundamentus!A:U,8,FALSE)&gt;3,"Alerta","n/a"))))</f>
        <v>Alerta</v>
      </c>
      <c r="ET80" s="36" t="str">
        <f t="shared" si="95"/>
        <v>Bom</v>
      </c>
      <c r="EU80" s="20" t="str">
        <f>IF(VLOOKUP(BK80,Fundamentus!A:U,12,FALSE)&lt;2,"Subvalorizada",IF(VLOOKUP(BK80,Fundamentus!A:U,12,FALSE)&lt;6,"Muita barata",IF(VLOOKUP(BK80,Fundamentus!A:U,12,FALSE)&lt;6,"Barata",IF(VLOOKUP(BK80,Fundamentus!A:U,12,FALSE)&lt;8,"Atrativa",IF(VLOOKUP(BK80,Fundamentus!A:U,12,FALSE)&gt;8,"Supervalorizada","n/a")))))</f>
        <v>Supervalorizada</v>
      </c>
      <c r="EW80" s="20" t="str">
        <f>IF(VLOOKUP(BK80,Fundamentus!A:U,17,FALSE)&lt;0.1,"Fraco retorno",IF(VLOOKUP(BK80,Fundamentus!A:U,17,FALSE)&gt;0.1,"Bom retorno","n/a"))</f>
        <v>Bom retorno</v>
      </c>
      <c r="EX80" s="20" t="str">
        <f>IF(VLOOKUP(BK80,Fundamentus!A:U,16,FALSE)&lt;0.1,"Ineficiente",IF(VLOOKUP(BK80,Fundamentus!A:U,16,FALSE)&gt;0.1,"Eficiente","n/a"))</f>
        <v>Eficiente</v>
      </c>
      <c r="EY80" s="41" t="str">
        <f>IF(VLOOKUP(BK80,Fundamentus!A:U,16,FALSE)&lt;0.1,"Oper. Ineficiente",IF(VLOOKUP(BK80,Fundamentus!A:U,16,FALSE)&gt;0.1,"Oper.Eficiente","n/a"))</f>
        <v>Oper.Eficiente</v>
      </c>
      <c r="EZ80" s="42">
        <f>VLOOKUP(BK80,Fundamentus!A:U,14,FALSE)</f>
        <v>0.1643</v>
      </c>
      <c r="FA80" s="20" t="str">
        <f>IF(VLOOKUP(BK80,Fundamentus!A:U,21,FALSE)&lt;0,"Negativo",IF(VLOOKUP(BK80,Fundamentus!A:U,21,FALSE)&lt;0.05,"Fraco",IF(VLOOKUP(BK80,Fundamentus!A:U,21,FALSE)&lt;0.1,"Bom",IF(VLOOKUP(BK80,Fundamentus!A:U,21,FALSE)&gt;0.1,"Muito bom","n/a"))))</f>
        <v>Muito bom</v>
      </c>
      <c r="FC80" s="37" t="str">
        <f>IF(VLOOKUP(BK80,Fundamentus!A:U,15,FALSE)&gt;1,"Bom",IF(VLOOKUP(BK80,Fundamentus!A:U,15,FALSE)&lt;1,"Ruim","n/a"))</f>
        <v>Bom</v>
      </c>
      <c r="FD80" s="20" t="str">
        <f>IF(VLOOKUP(BK80,Fundamentus!A:U,20,FALSE)&lt;0.5,"Baixa",IF(VLOOKUP(BK80,Fundamentus!A:U,20,FALSE)&lt;1,"Moderada",IF(VLOOKUP(BK80,Fundamentus!A:U,20,FALSE)&lt;2,"Alerta",IF(VLOOKUP(BK80,Fundamentus!A:U,20,FALSE)&gt;2,"Alta","n/a"))))</f>
        <v>Baixa</v>
      </c>
      <c r="FE80" s="10"/>
    </row>
    <row r="81" spans="1:161" s="2" customFormat="1" ht="11.25" hidden="1"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8">
        <v>39.82</v>
      </c>
      <c r="BC81" s="62">
        <v>40.74</v>
      </c>
      <c r="BD81" s="62">
        <v>40.450000000000003</v>
      </c>
      <c r="BE81" s="62">
        <v>41.06</v>
      </c>
      <c r="BF81" s="62">
        <v>40.6</v>
      </c>
      <c r="BG81" s="81">
        <v>40.46</v>
      </c>
      <c r="BH81" s="62">
        <v>40.049999999999997</v>
      </c>
      <c r="BI81" s="62">
        <v>45.03</v>
      </c>
      <c r="BJ81" s="62" cm="1">
        <f t="array" aca="1" ref="BJ81" ca="1">_FV(EH81,"Preço")</f>
        <v>44.95</v>
      </c>
      <c r="BK81" s="83" t="s">
        <v>78</v>
      </c>
      <c r="BL81" s="44" cm="1">
        <f t="array" aca="1" ref="BL81" ca="1">_FV(EH81,"Média de volume",TRUE)</f>
        <v>2184550</v>
      </c>
      <c r="BM81" s="44">
        <v>1677000</v>
      </c>
      <c r="BN81" s="44" cm="1">
        <f t="array" aca="1" ref="BN81" ca="1">_FV(EH81,"Volume")</f>
        <v>434600</v>
      </c>
      <c r="BO81" s="32" cm="1">
        <f t="array" aca="1" ref="BO81" ca="1">_FV(EH81,"Beta")</f>
        <v>0.57840000000000003</v>
      </c>
      <c r="BP81" s="86" cm="1">
        <f t="array" aca="1" ref="BP81" ca="1">_FV(EH81,"Variação (%)",TRUE)</f>
        <v>-1.7769999999999999E-3</v>
      </c>
      <c r="BQ81" s="48"/>
      <c r="BR81" s="48"/>
      <c r="BT81" s="20" cm="1">
        <f t="array" aca="1" ref="BT81" ca="1">_FV(EH81,"Baixo")</f>
        <v>44.62</v>
      </c>
      <c r="BU81" s="20" cm="1">
        <f t="array" aca="1" ref="BU81" ca="1">_FV(EH81,"Alto")</f>
        <v>45.05</v>
      </c>
      <c r="BV81" s="32"/>
      <c r="BW81" s="73">
        <f ca="1">SQRT(22.5*(BJ81/VLOOKUP(BK81,Fundamentus!A:U,3,FALSE))*(BJ81/VLOOKUP(BK81,Fundamentus!A:U,4,FALSE)))</f>
        <v>41.200750579383879</v>
      </c>
      <c r="BY81" s="72">
        <f t="shared" ca="1" si="90"/>
        <v>-1.7765933821896134E-3</v>
      </c>
      <c r="BZ81" s="8"/>
      <c r="CA81" s="71">
        <f t="shared" si="98"/>
        <v>34.950000000000003</v>
      </c>
      <c r="CB81" s="71">
        <f t="shared" si="91"/>
        <v>46.61</v>
      </c>
      <c r="CC81" s="71">
        <f t="shared" si="99"/>
        <v>40.833196721311474</v>
      </c>
      <c r="CD81" s="17"/>
      <c r="CE81" s="43">
        <f t="shared" si="96"/>
        <v>40.699127714043286</v>
      </c>
      <c r="CF81" s="18">
        <f>FORECAST("04/07/2025", BF81:BI81, $BF$5:$BI$5)</f>
        <v>44.755000000001019</v>
      </c>
      <c r="CG81" s="43">
        <f t="shared" si="97"/>
        <v>48.810872285958752</v>
      </c>
      <c r="CI81" s="17"/>
      <c r="CJ81" s="20">
        <f>CA81-2*(CB81-CM81)</f>
        <v>26.123333333333335</v>
      </c>
      <c r="CK81" s="20">
        <f>CM81-(CB81-CA81)</f>
        <v>30.536666666666669</v>
      </c>
      <c r="CL81" s="20">
        <f>2*CM81-CB81</f>
        <v>37.783333333333331</v>
      </c>
      <c r="CM81" s="48">
        <f>(CB81+CA81+BI81)/3</f>
        <v>42.196666666666665</v>
      </c>
      <c r="CN81" s="20">
        <f>2*CM81-CA81</f>
        <v>49.443333333333328</v>
      </c>
      <c r="CO81" s="20">
        <f>CM81+(CB81-CA81)</f>
        <v>53.856666666666662</v>
      </c>
      <c r="CP81" s="20">
        <f>CB81+2*(CM81-CA81)</f>
        <v>61.103333333333325</v>
      </c>
      <c r="CQ81" s="2" cm="1">
        <f t="array" aca="1" ref="CQ81" ca="1">MAX(_xlfn._xlws.FILTER(CJ81:CP81,CJ81:CP81&lt;BJ81))</f>
        <v>42.196666666666665</v>
      </c>
      <c r="CR81" s="2" cm="1">
        <f t="array" aca="1" ref="CR81" ca="1">MIN(_xlfn._xlws.FILTER($CJ81:$CP81,$CJ81:$CP81&gt;BJ81))</f>
        <v>49.443333333333328</v>
      </c>
      <c r="CS81" s="19">
        <f t="shared" ca="1" si="72"/>
        <v>0.17173552413302784</v>
      </c>
      <c r="CT81" s="23">
        <f t="shared" ca="1" si="73"/>
        <v>-8.586776206651392E-2</v>
      </c>
      <c r="CU81" s="23">
        <f t="shared" ca="1" si="74"/>
        <v>-5.7245174711009282E-2</v>
      </c>
      <c r="CV81" s="23">
        <f t="shared" ca="1" si="75"/>
        <v>-3.4347104826605565E-2</v>
      </c>
      <c r="CW81" s="23">
        <f t="shared" ca="1" si="76"/>
        <v>-1.9081724903669758E-2</v>
      </c>
      <c r="CX81" s="23">
        <f t="shared" ca="1" si="77"/>
        <v>-1.0102089654883991E-2</v>
      </c>
      <c r="CY81" s="23">
        <f t="shared" ca="1" si="78"/>
        <v>-5.2041067919099343E-3</v>
      </c>
      <c r="CZ81" s="23">
        <f t="shared" ca="1" si="79"/>
        <v>-2.6420849866619668E-3</v>
      </c>
      <c r="DA81" s="24">
        <f t="shared" ca="1" si="80"/>
        <v>2.6420849866619668E-3</v>
      </c>
      <c r="DB81" s="24">
        <f t="shared" ca="1" si="81"/>
        <v>5.2041067919099343E-3</v>
      </c>
      <c r="DC81" s="24">
        <f t="shared" ca="1" si="82"/>
        <v>1.0102089654883991E-2</v>
      </c>
      <c r="DD81" s="24">
        <f t="shared" ca="1" si="83"/>
        <v>1.9081724903669758E-2</v>
      </c>
      <c r="DE81" s="24">
        <f t="shared" ca="1" si="84"/>
        <v>3.4347104826605565E-2</v>
      </c>
      <c r="DF81" s="24">
        <f t="shared" ca="1" si="85"/>
        <v>5.7245174711009282E-2</v>
      </c>
      <c r="DG81" s="24">
        <f t="shared" ca="1" si="86"/>
        <v>8.586776206651392E-2</v>
      </c>
      <c r="DI81" s="19" cm="1">
        <f t="array" aca="1" ref="DI81" ca="1">MAX(_xlfn._xlws.FILTER(CT81:DG81,CT81:DG81&lt;BP81))</f>
        <v>-2.6420849866619668E-3</v>
      </c>
      <c r="DJ81" s="19" cm="1">
        <f t="array" aca="1" ref="DJ81" ca="1">MIN(_xlfn._xlws.FILTER(CT81:DG81,CT81:DG81&gt;BP81))</f>
        <v>2.6420849866619668E-3</v>
      </c>
      <c r="DK81" s="2" cm="1">
        <f t="array" aca="1" ref="DK81" ca="1">_FV(EH81,"Fechamento anterior",TRUE)</f>
        <v>45.03</v>
      </c>
      <c r="DL81" s="36">
        <f ca="1">(BJ81-DM81)/(DN81-DM81)</f>
        <v>0.1637895088238297</v>
      </c>
      <c r="DM81" s="18">
        <f t="shared" ca="1" si="87"/>
        <v>44.911026913050613</v>
      </c>
      <c r="DN81" s="18">
        <f t="shared" ca="1" si="88"/>
        <v>45.14897308694939</v>
      </c>
      <c r="DO81" s="9"/>
      <c r="DP81" s="9"/>
      <c r="DQ81" s="94">
        <v>1.2796659605170249E-2</v>
      </c>
      <c r="DR81" s="94">
        <v>4.1058800872204012E-3</v>
      </c>
      <c r="DS81" s="94">
        <v>2.5496302629015376E-3</v>
      </c>
      <c r="DT81" s="94">
        <f t="shared" ca="1" si="92"/>
        <v>5.2841699733239336E-3</v>
      </c>
      <c r="DU81" s="87">
        <f ca="1">(BJ81-CF81)/(CF81-CE81)</f>
        <v>4.8078436955254843E-2</v>
      </c>
      <c r="DV81" s="46"/>
      <c r="DW81" s="43">
        <f>_xlfn.STDEV.P(BF81:BI81)</f>
        <v>2.0279361429788669</v>
      </c>
      <c r="DX81" s="76">
        <f ca="1">BO81-$DT$2</f>
        <v>-0.41870000000000007</v>
      </c>
      <c r="DY81" s="76">
        <f ca="1">BO81-BP81*100</f>
        <v>0.75609999999999999</v>
      </c>
      <c r="DZ81" s="101"/>
      <c r="EA81" s="100">
        <v>-0.24250000000000016</v>
      </c>
      <c r="EB81" s="107">
        <v>0.30200000000000005</v>
      </c>
      <c r="EC81" s="107">
        <v>4.4169999999999998</v>
      </c>
      <c r="ED81" s="98">
        <f t="shared" ca="1" si="93"/>
        <v>-1.1748000000000001</v>
      </c>
      <c r="EE81" s="66"/>
      <c r="EF81" s="66"/>
      <c r="EH81" s="2" t="e" vm="81">
        <v>#VALUE!</v>
      </c>
      <c r="EJ81" s="10" cm="1">
        <f t="array" aca="1" ref="EJ81" ca="1">_FV(EH81,"Ações em circulação",TRUE)</f>
        <v>815927700</v>
      </c>
      <c r="EK81" s="21">
        <f>VLOOKUP(BK81,Fundamentus!A:U,5,FALSE)</f>
        <v>2.84</v>
      </c>
      <c r="EL81" s="2">
        <f ca="1">(BJ81*EJ81)/EK81</f>
        <v>12914066941.901409</v>
      </c>
      <c r="EM81" s="20">
        <v>3834541863.277606</v>
      </c>
      <c r="EN81" s="20">
        <f t="shared" ca="1" si="94"/>
        <v>3827729441.5795774</v>
      </c>
      <c r="EP81" s="19">
        <f t="shared" ca="1" si="89"/>
        <v>-1.7765933821897173E-3</v>
      </c>
      <c r="EQ81" s="40" t="str">
        <f>IF(VLOOKUP(BK81,Fundamentus!A:U,3,FALSE)&lt;15,"Bom",IF(VLOOKUP(BK81,Fundamentus!A:U,3,FALSE)&gt;15,"Ruim","n/a"))</f>
        <v>Bom</v>
      </c>
      <c r="ER81" s="36" t="str">
        <f>IF(VLOOKUP(BK81,Fundamentus!A:U,4,FALSE)&lt;1,"Baixo",IF(VLOOKUP(BK81,Fundamentus!A:U,4,FALSE)&lt;1.5,"Moderado",IF(VLOOKUP(BK81,Fundamentus!A:U,4,FALSE)&gt;1.5,"Alto","n/a")))</f>
        <v>Alto</v>
      </c>
      <c r="ES81" s="20" t="str">
        <f>IF(VLOOKUP(BK81,Fundamentus!A:U,8,FALSE)&lt;0,"Risco elevado",IF(VLOOKUP(BK81,Fundamentus!A:U,8,FALSE)&lt;1,"Saudável",IF(VLOOKUP(BK81,Fundamentus!A:U,8,FALSE)&lt;3,"Estável",IF(VLOOKUP(BK81,Fundamentus!A:U,8,FALSE)&gt;3,"Alerta","n/a"))))</f>
        <v>Alerta</v>
      </c>
      <c r="ET81" s="36" t="str">
        <f t="shared" si="95"/>
        <v>Bom</v>
      </c>
      <c r="EU81" s="20" t="str">
        <f>IF(VLOOKUP(BK81,Fundamentus!A:U,12,FALSE)&lt;2,"Subvalorizada",IF(VLOOKUP(BK81,Fundamentus!A:U,12,FALSE)&lt;6,"Muita barata",IF(VLOOKUP(BK81,Fundamentus!A:U,12,FALSE)&lt;6,"Barata",IF(VLOOKUP(BK81,Fundamentus!A:U,12,FALSE)&lt;8,"Atrativa",IF(VLOOKUP(BK81,Fundamentus!A:U,12,FALSE)&gt;8,"Supervalorizada","n/a")))))</f>
        <v>Atrativa</v>
      </c>
      <c r="EW81" s="20" t="str">
        <f>IF(VLOOKUP(BK81,Fundamentus!A:U,17,FALSE)&lt;0.1,"Fraco retorno",IF(VLOOKUP(BK81,Fundamentus!A:U,17,FALSE)&gt;0.1,"Bom retorno","n/a"))</f>
        <v>Bom retorno</v>
      </c>
      <c r="EX81" s="20" t="str">
        <f>IF(VLOOKUP(BK81,Fundamentus!A:U,16,FALSE)&lt;0.1,"Ineficiente",IF(VLOOKUP(BK81,Fundamentus!A:U,16,FALSE)&gt;0.1,"Eficiente","n/a"))</f>
        <v>Eficiente</v>
      </c>
      <c r="EY81" s="41" t="str">
        <f>IF(VLOOKUP(BK81,Fundamentus!A:U,16,FALSE)&lt;0.1,"Oper. Ineficiente",IF(VLOOKUP(BK81,Fundamentus!A:U,16,FALSE)&gt;0.1,"Oper.Eficiente","n/a"))</f>
        <v>Oper.Eficiente</v>
      </c>
      <c r="EZ81" s="42">
        <f>VLOOKUP(BK81,Fundamentus!A:U,14,FALSE)</f>
        <v>0.2964</v>
      </c>
      <c r="FA81" s="20" t="str">
        <f>IF(VLOOKUP(BK81,Fundamentus!A:U,21,FALSE)&lt;0,"Negativo",IF(VLOOKUP(BK81,Fundamentus!A:U,21,FALSE)&lt;0.05,"Fraco",IF(VLOOKUP(BK81,Fundamentus!A:U,21,FALSE)&lt;0.1,"Bom",IF(VLOOKUP(BK81,Fundamentus!A:U,21,FALSE)&gt;0.1,"Muito bom","n/a"))))</f>
        <v>Negativo</v>
      </c>
      <c r="FC81" s="37" t="str">
        <f>IF(VLOOKUP(BK81,Fundamentus!A:U,15,FALSE)&gt;1,"Bom",IF(VLOOKUP(BK81,Fundamentus!A:U,15,FALSE)&lt;1,"Ruim","n/a"))</f>
        <v>Bom</v>
      </c>
      <c r="FD81" s="20" t="str">
        <f>IF(VLOOKUP(BK81,Fundamentus!A:U,20,FALSE)&lt;0.5,"Baixa",IF(VLOOKUP(BK81,Fundamentus!A:U,20,FALSE)&lt;1,"Moderada",IF(VLOOKUP(BK81,Fundamentus!A:U,20,FALSE)&lt;2,"Alerta",IF(VLOOKUP(BK81,Fundamentus!A:U,20,FALSE)&gt;2,"Alta","n/a"))))</f>
        <v>Alta</v>
      </c>
      <c r="FE81" s="10"/>
    </row>
    <row r="82" spans="1:161" s="2" customFormat="1" ht="11.25" hidden="1"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8">
        <v>42.5</v>
      </c>
      <c r="BC82" s="62">
        <v>39.18</v>
      </c>
      <c r="BD82" s="62">
        <v>41.74</v>
      </c>
      <c r="BE82" s="62">
        <v>40.119999999999997</v>
      </c>
      <c r="BF82" s="62">
        <v>39.03</v>
      </c>
      <c r="BG82" s="81">
        <v>39.03</v>
      </c>
      <c r="BH82" s="62">
        <v>39.03</v>
      </c>
      <c r="BI82" s="62">
        <v>39.03</v>
      </c>
      <c r="BJ82" s="62" cm="1">
        <f t="array" aca="1" ref="BJ82" ca="1">_FV(EH82,"Preço")</f>
        <v>39.03</v>
      </c>
      <c r="BK82" s="83" t="s">
        <v>79</v>
      </c>
      <c r="BL82" s="44" cm="1">
        <f t="array" aca="1" ref="BL82" ca="1">_FV(EH82,"Média de volume",TRUE)</f>
        <v>23419940</v>
      </c>
      <c r="BM82" s="44">
        <v>94391100</v>
      </c>
      <c r="BN82" s="44" cm="1">
        <f t="array" aca="1" ref="BN82" ca="1">_FV(EH82,"Volume")</f>
        <v>94391100</v>
      </c>
      <c r="BO82" s="32" cm="1">
        <f t="array" aca="1" ref="BO82" ca="1">_FV(EH82,"Beta")</f>
        <v>0.49909999999999999</v>
      </c>
      <c r="BP82" s="86" cm="1">
        <f t="array" aca="1" ref="BP82" ca="1">_FV(EH82,"Variação (%)",TRUE)</f>
        <v>0</v>
      </c>
      <c r="BQ82" s="48"/>
      <c r="BR82" s="48"/>
      <c r="BT82" s="20" cm="1">
        <f t="array" aca="1" ref="BT82" ca="1">_FV(EH82,"Baixo")</f>
        <v>38.4</v>
      </c>
      <c r="BU82" s="20" cm="1">
        <f t="array" aca="1" ref="BU82" ca="1">_FV(EH82,"Alto")</f>
        <v>40.06</v>
      </c>
      <c r="BV82" s="32"/>
      <c r="BW82" s="73">
        <f ca="1">SQRT(22.5*(BJ82/VLOOKUP(BK82,Fundamentus!A:U,3,FALSE))*(BJ82/VLOOKUP(BK82,Fundamentus!A:U,4,FALSE)))</f>
        <v>118.86727711875339</v>
      </c>
      <c r="BY82" s="72">
        <f t="shared" ca="1" si="90"/>
        <v>0</v>
      </c>
      <c r="BZ82" s="8"/>
      <c r="CA82" s="71">
        <f t="shared" si="98"/>
        <v>23.86</v>
      </c>
      <c r="CB82" s="71">
        <f t="shared" si="91"/>
        <v>47.87</v>
      </c>
      <c r="CC82" s="71">
        <f t="shared" si="99"/>
        <v>35.09590163934427</v>
      </c>
      <c r="CD82" s="17"/>
      <c r="CE82" s="43">
        <f t="shared" si="96"/>
        <v>39.03</v>
      </c>
      <c r="CF82" s="18">
        <f>FORECAST("04/07/2025", BF82:BI82, $BF$5:$BI$5)</f>
        <v>39.03</v>
      </c>
      <c r="CG82" s="43">
        <f t="shared" si="97"/>
        <v>39.03</v>
      </c>
      <c r="CI82" s="17"/>
      <c r="CJ82" s="20">
        <f>CA82-2*(CB82-CM82)</f>
        <v>1.9599999999999937</v>
      </c>
      <c r="CK82" s="20">
        <f>CM82-(CB82-CA82)</f>
        <v>12.909999999999997</v>
      </c>
      <c r="CL82" s="20">
        <f>2*CM82-CB82</f>
        <v>25.969999999999992</v>
      </c>
      <c r="CM82" s="48">
        <f>(CB82+CA82+BI82)/3</f>
        <v>36.919999999999995</v>
      </c>
      <c r="CN82" s="20">
        <f>2*CM82-CA82</f>
        <v>49.97999999999999</v>
      </c>
      <c r="CO82" s="20">
        <f>CM82+(CB82-CA82)</f>
        <v>60.929999999999993</v>
      </c>
      <c r="CP82" s="20">
        <f>CB82+2*(CM82-CA82)</f>
        <v>73.989999999999981</v>
      </c>
      <c r="CQ82" s="2" cm="1">
        <f t="array" aca="1" ref="CQ82" ca="1">MAX(_xlfn._xlws.FILTER(CJ82:CP82,CJ82:CP82&lt;BJ82))</f>
        <v>36.919999999999995</v>
      </c>
      <c r="CR82" s="2" cm="1">
        <f t="array" aca="1" ref="CR82" ca="1">MIN(_xlfn._xlws.FILTER($CJ82:$CP82,$CJ82:$CP82&gt;BJ82))</f>
        <v>49.97999999999999</v>
      </c>
      <c r="CS82" s="19">
        <f t="shared" ca="1" si="72"/>
        <v>0.35373781148429018</v>
      </c>
      <c r="CT82" s="23">
        <f t="shared" ca="1" si="73"/>
        <v>-0.17686890574214509</v>
      </c>
      <c r="CU82" s="23">
        <f t="shared" ca="1" si="74"/>
        <v>-0.11791260382809672</v>
      </c>
      <c r="CV82" s="23">
        <f t="shared" ca="1" si="75"/>
        <v>-7.0747562296858038E-2</v>
      </c>
      <c r="CW82" s="23">
        <f t="shared" ca="1" si="76"/>
        <v>-3.9304201276032243E-2</v>
      </c>
      <c r="CX82" s="23">
        <f t="shared" ca="1" si="77"/>
        <v>-2.0808106557899421E-2</v>
      </c>
      <c r="CY82" s="23">
        <f t="shared" ca="1" si="78"/>
        <v>-1.0719327620736066E-2</v>
      </c>
      <c r="CZ82" s="23">
        <f t="shared" ca="1" si="79"/>
        <v>-5.4421201766813873E-3</v>
      </c>
      <c r="DA82" s="24">
        <f t="shared" ca="1" si="80"/>
        <v>5.4421201766813873E-3</v>
      </c>
      <c r="DB82" s="24">
        <f t="shared" ca="1" si="81"/>
        <v>1.0719327620736066E-2</v>
      </c>
      <c r="DC82" s="24">
        <f t="shared" ca="1" si="82"/>
        <v>2.0808106557899421E-2</v>
      </c>
      <c r="DD82" s="24">
        <f t="shared" ca="1" si="83"/>
        <v>3.9304201276032243E-2</v>
      </c>
      <c r="DE82" s="24">
        <f t="shared" ca="1" si="84"/>
        <v>7.0747562296858038E-2</v>
      </c>
      <c r="DF82" s="24">
        <f t="shared" ca="1" si="85"/>
        <v>0.11791260382809672</v>
      </c>
      <c r="DG82" s="24">
        <f t="shared" ca="1" si="86"/>
        <v>0.17686890574214509</v>
      </c>
      <c r="DI82" s="19" cm="1">
        <f t="array" aca="1" ref="DI82" ca="1">MAX(_xlfn._xlws.FILTER(CT82:DG82,CT82:DG82&lt;BP82))</f>
        <v>-5.4421201766813873E-3</v>
      </c>
      <c r="DJ82" s="19" cm="1">
        <f t="array" aca="1" ref="DJ82" ca="1">MIN(_xlfn._xlws.FILTER(CT82:DG82,CT82:DG82&gt;BP82))</f>
        <v>5.4421201766813873E-3</v>
      </c>
      <c r="DK82" s="2" cm="1">
        <f t="array" aca="1" ref="DK82" ca="1">_FV(EH82,"Fechamento anterior",TRUE)</f>
        <v>38.29</v>
      </c>
      <c r="DL82" s="36">
        <f ca="1">(BJ82-DM82)/(DN82-DM82)</f>
        <v>2.2756126474151319</v>
      </c>
      <c r="DM82" s="18">
        <f t="shared" ca="1" si="87"/>
        <v>38.081621218434869</v>
      </c>
      <c r="DN82" s="18">
        <f t="shared" ca="1" si="88"/>
        <v>38.49837878156513</v>
      </c>
      <c r="DO82" s="9"/>
      <c r="DP82" s="9"/>
      <c r="DQ82" s="94">
        <v>1.1451123471583832E-2</v>
      </c>
      <c r="DR82" s="94">
        <v>1.313343275030136E-2</v>
      </c>
      <c r="DS82" s="94">
        <v>1.0884240353362775E-2</v>
      </c>
      <c r="DT82" s="94">
        <f t="shared" ca="1" si="92"/>
        <v>1.0884240353362775E-2</v>
      </c>
      <c r="DU82" s="87" t="e">
        <f ca="1">(BJ82-CF82)/(CF82-CE82)</f>
        <v>#DIV/0!</v>
      </c>
      <c r="DV82" s="46"/>
      <c r="DW82" s="43">
        <f>_xlfn.STDEV.P(BF82:BI82)</f>
        <v>0</v>
      </c>
      <c r="DX82" s="76">
        <f ca="1">BO82-$DT$2</f>
        <v>-0.49800000000000011</v>
      </c>
      <c r="DY82" s="76">
        <f ca="1">BO82-BP82*100</f>
        <v>0.49909999999999999</v>
      </c>
      <c r="DZ82" s="101"/>
      <c r="EA82" s="100">
        <v>0.29870000000000008</v>
      </c>
      <c r="EB82" s="107">
        <v>1.2419000000000002</v>
      </c>
      <c r="EC82" s="107">
        <v>0.18089999999999995</v>
      </c>
      <c r="ED82" s="98">
        <f t="shared" ca="1" si="93"/>
        <v>-0.9971000000000001</v>
      </c>
      <c r="EE82" s="66"/>
      <c r="EF82" s="66"/>
      <c r="EH82" s="2" t="e" vm="82">
        <v>#VALUE!</v>
      </c>
      <c r="EJ82" s="10" cm="1">
        <f t="array" aca="1" ref="EJ82" ca="1">_FV(EH82,"Ações em circulação",TRUE)</f>
        <v>2218116000</v>
      </c>
      <c r="EK82" s="21">
        <f>VLOOKUP(BK82,Fundamentus!A:U,5,FALSE)</f>
        <v>7.6999999999999999E-2</v>
      </c>
      <c r="EL82" s="2">
        <f ca="1">(BJ82*EJ82)/EK82</f>
        <v>1124325551688.3118</v>
      </c>
      <c r="EM82" s="20">
        <v>30918952671.428574</v>
      </c>
      <c r="EN82" s="20">
        <f t="shared" ca="1" si="94"/>
        <v>30918952671.428574</v>
      </c>
      <c r="EP82" s="19">
        <f t="shared" ca="1" si="89"/>
        <v>0</v>
      </c>
      <c r="EQ82" s="40" t="str">
        <f>IF(VLOOKUP(BK82,Fundamentus!A:U,3,FALSE)&lt;15,"Bom",IF(VLOOKUP(BK82,Fundamentus!A:U,3,FALSE)&gt;15,"Ruim","n/a"))</f>
        <v>Bom</v>
      </c>
      <c r="ER82" s="36" t="str">
        <f>IF(VLOOKUP(BK82,Fundamentus!A:U,4,FALSE)&lt;1,"Baixo",IF(VLOOKUP(BK82,Fundamentus!A:U,4,FALSE)&lt;1.5,"Moderado",IF(VLOOKUP(BK82,Fundamentus!A:U,4,FALSE)&gt;1.5,"Alto","n/a")))</f>
        <v>Baixo</v>
      </c>
      <c r="ES82" s="20" t="str">
        <f>IF(VLOOKUP(BK82,Fundamentus!A:U,8,FALSE)&lt;0,"Risco elevado",IF(VLOOKUP(BK82,Fundamentus!A:U,8,FALSE)&lt;1,"Saudável",IF(VLOOKUP(BK82,Fundamentus!A:U,8,FALSE)&lt;3,"Estável",IF(VLOOKUP(BK82,Fundamentus!A:U,8,FALSE)&gt;3,"Alerta","n/a"))))</f>
        <v>Saudável</v>
      </c>
      <c r="ET82" s="36" t="str">
        <f t="shared" si="95"/>
        <v>Ruim</v>
      </c>
      <c r="EU82" s="20" t="str">
        <f>IF(VLOOKUP(BK82,Fundamentus!A:U,12,FALSE)&lt;2,"Subvalorizada",IF(VLOOKUP(BK82,Fundamentus!A:U,12,FALSE)&lt;6,"Muita barata",IF(VLOOKUP(BK82,Fundamentus!A:U,12,FALSE)&lt;6,"Barata",IF(VLOOKUP(BK82,Fundamentus!A:U,12,FALSE)&lt;8,"Atrativa",IF(VLOOKUP(BK82,Fundamentus!A:U,12,FALSE)&gt;8,"Supervalorizada","n/a")))))</f>
        <v>Muita barata</v>
      </c>
      <c r="EW82" s="20" t="str">
        <f>IF(VLOOKUP(BK82,Fundamentus!A:U,17,FALSE)&lt;0.1,"Fraco retorno",IF(VLOOKUP(BK82,Fundamentus!A:U,17,FALSE)&gt;0.1,"Bom retorno","n/a"))</f>
        <v>Bom retorno</v>
      </c>
      <c r="EX82" s="20" t="str">
        <f>IF(VLOOKUP(BK82,Fundamentus!A:U,16,FALSE)&lt;0.1,"Ineficiente",IF(VLOOKUP(BK82,Fundamentus!A:U,16,FALSE)&gt;0.1,"Eficiente","n/a"))</f>
        <v>Eficiente</v>
      </c>
      <c r="EY82" s="41" t="str">
        <f>IF(VLOOKUP(BK82,Fundamentus!A:U,16,FALSE)&lt;0.1,"Oper. Ineficiente",IF(VLOOKUP(BK82,Fundamentus!A:U,16,FALSE)&gt;0.1,"Oper.Eficiente","n/a"))</f>
        <v>Oper.Eficiente</v>
      </c>
      <c r="EZ82" s="42">
        <f>VLOOKUP(BK82,Fundamentus!A:U,14,FALSE)</f>
        <v>2.75E-2</v>
      </c>
      <c r="FA82" s="20" t="str">
        <f>IF(VLOOKUP(BK82,Fundamentus!A:U,21,FALSE)&lt;0,"Negativo",IF(VLOOKUP(BK82,Fundamentus!A:U,21,FALSE)&lt;0.05,"Fraco",IF(VLOOKUP(BK82,Fundamentus!A:U,21,FALSE)&lt;0.1,"Bom",IF(VLOOKUP(BK82,Fundamentus!A:U,21,FALSE)&gt;0.1,"Muito bom","n/a"))))</f>
        <v>Bom</v>
      </c>
      <c r="FC82" s="37" t="str">
        <f>IF(VLOOKUP(BK82,Fundamentus!A:U,15,FALSE)&gt;1,"Bom",IF(VLOOKUP(BK82,Fundamentus!A:U,15,FALSE)&lt;1,"Ruim","n/a"))</f>
        <v>Bom</v>
      </c>
      <c r="FD82" s="20" t="str">
        <f>IF(VLOOKUP(BK82,Fundamentus!A:U,20,FALSE)&lt;0.5,"Baixa",IF(VLOOKUP(BK82,Fundamentus!A:U,20,FALSE)&lt;1,"Moderada",IF(VLOOKUP(BK82,Fundamentus!A:U,20,FALSE)&lt;2,"Alerta",IF(VLOOKUP(BK82,Fundamentus!A:U,20,FALSE)&gt;2,"Alta","n/a"))))</f>
        <v>Alta</v>
      </c>
      <c r="FE82" s="10"/>
    </row>
    <row r="83" spans="1:161" s="2" customFormat="1" ht="11.25" hidden="1"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8">
        <v>8.2100000000000009</v>
      </c>
      <c r="BC83" s="62">
        <v>8.15</v>
      </c>
      <c r="BD83" s="62">
        <v>8.5399999999999991</v>
      </c>
      <c r="BE83" s="62">
        <v>8.7200000000000006</v>
      </c>
      <c r="BF83" s="62">
        <v>8.43</v>
      </c>
      <c r="BG83" s="81">
        <v>8.69</v>
      </c>
      <c r="BH83" s="62">
        <v>8.86</v>
      </c>
      <c r="BI83" s="62">
        <v>8.52</v>
      </c>
      <c r="BJ83" s="62" cm="1">
        <f t="array" aca="1" ref="BJ83" ca="1">_FV(EH83,"Preço")</f>
        <v>8.58</v>
      </c>
      <c r="BK83" s="83" t="s">
        <v>80</v>
      </c>
      <c r="BL83" s="44" cm="1">
        <f t="array" aca="1" ref="BL83" ca="1">_FV(EH83,"Média de volume",TRUE)</f>
        <v>145380</v>
      </c>
      <c r="BM83" s="44">
        <v>86700</v>
      </c>
      <c r="BN83" s="44" cm="1">
        <f t="array" aca="1" ref="BN83" ca="1">_FV(EH83,"Volume")</f>
        <v>37100</v>
      </c>
      <c r="BO83" s="32" cm="1">
        <f t="array" aca="1" ref="BO83" ca="1">_FV(EH83,"Beta")</f>
        <v>1.3031999999999999</v>
      </c>
      <c r="BP83" s="86" cm="1">
        <f t="array" aca="1" ref="BP83" ca="1">_FV(EH83,"Variação (%)",TRUE)</f>
        <v>7.0420000000000005E-3</v>
      </c>
      <c r="BQ83" s="48"/>
      <c r="BR83" s="48"/>
      <c r="BT83" s="20" cm="1">
        <f t="array" aca="1" ref="BT83" ca="1">_FV(EH83,"Baixo")</f>
        <v>8.4499999999999993</v>
      </c>
      <c r="BU83" s="20" cm="1">
        <f t="array" aca="1" ref="BU83" ca="1">_FV(EH83,"Alto")</f>
        <v>8.6300000000000008</v>
      </c>
      <c r="BV83" s="32"/>
      <c r="BW83" s="73">
        <f ca="1">SQRT(22.5*(BJ83/VLOOKUP(BK83,Fundamentus!A:U,3,FALSE))*(BJ83/VLOOKUP(BK83,Fundamentus!A:U,4,FALSE)))</f>
        <v>15.290255744483391</v>
      </c>
      <c r="BY83" s="72">
        <f t="shared" ca="1" si="90"/>
        <v>7.0422535211268197E-3</v>
      </c>
      <c r="BZ83" s="8"/>
      <c r="CA83" s="71">
        <f t="shared" si="98"/>
        <v>5.0999999999999996</v>
      </c>
      <c r="CB83" s="71">
        <f t="shared" si="91"/>
        <v>8.86</v>
      </c>
      <c r="CC83" s="71">
        <f t="shared" si="99"/>
        <v>6.5916393442622958</v>
      </c>
      <c r="CD83" s="17"/>
      <c r="CE83" s="43">
        <f t="shared" si="96"/>
        <v>8.405606618160002</v>
      </c>
      <c r="CF83" s="18">
        <f>FORECAST("04/07/2025", BF83:BI83, $BF$5:$BI$5)</f>
        <v>8.7350000000000136</v>
      </c>
      <c r="CG83" s="43">
        <f t="shared" si="97"/>
        <v>9.0643933818400253</v>
      </c>
      <c r="CI83" s="17"/>
      <c r="CJ83" s="20">
        <f>CA83-2*(CB83-CM83)</f>
        <v>2.3666666666666654</v>
      </c>
      <c r="CK83" s="20">
        <f>CM83-(CB83-CA83)</f>
        <v>3.7333333333333325</v>
      </c>
      <c r="CL83" s="20">
        <f>2*CM83-CB83</f>
        <v>6.1266666666666652</v>
      </c>
      <c r="CM83" s="48">
        <f>(CB83+CA83+BI83)/3</f>
        <v>7.4933333333333323</v>
      </c>
      <c r="CN83" s="20">
        <f>2*CM83-CA83</f>
        <v>9.8866666666666649</v>
      </c>
      <c r="CO83" s="20">
        <f>CM83+(CB83-CA83)</f>
        <v>11.253333333333332</v>
      </c>
      <c r="CP83" s="20">
        <f>CB83+2*(CM83-CA83)</f>
        <v>13.646666666666665</v>
      </c>
      <c r="CQ83" s="2" cm="1">
        <f t="array" aca="1" ref="CQ83" ca="1">MAX(_xlfn._xlws.FILTER(CJ83:CP83,CJ83:CP83&lt;BJ83))</f>
        <v>7.4933333333333323</v>
      </c>
      <c r="CR83" s="2" cm="1">
        <f t="array" aca="1" ref="CR83" ca="1">MIN(_xlfn._xlws.FILTER($CJ83:$CP83,$CJ83:$CP83&gt;BJ83))</f>
        <v>9.8866666666666649</v>
      </c>
      <c r="CS83" s="19">
        <f t="shared" ref="CS83:CS114" ca="1" si="100">(CR83/CQ83)-1</f>
        <v>0.31939501779359425</v>
      </c>
      <c r="CT83" s="23">
        <f t="shared" ref="CT83:CT114" ca="1" si="101">-$CS83/2</f>
        <v>-0.15969750889679712</v>
      </c>
      <c r="CU83" s="23">
        <f t="shared" ref="CU83:CU114" ca="1" si="102">-$CS83/3</f>
        <v>-0.10646500593119808</v>
      </c>
      <c r="CV83" s="23">
        <f t="shared" ref="CV83:CV114" ca="1" si="103">-$CS83/5</f>
        <v>-6.3879003558718853E-2</v>
      </c>
      <c r="CW83" s="23">
        <f t="shared" ref="CW83:CW114" ca="1" si="104">-$CS83/9</f>
        <v>-3.5488335310399362E-2</v>
      </c>
      <c r="CX83" s="23">
        <f t="shared" ref="CX83:CX114" ca="1" si="105">-$CS83/17</f>
        <v>-1.8787942223152602E-2</v>
      </c>
      <c r="CY83" s="23">
        <f t="shared" ref="CY83:CY114" ca="1" si="106">-$CS83/33</f>
        <v>-9.6786369028361886E-3</v>
      </c>
      <c r="CZ83" s="23">
        <f t="shared" ref="CZ83:CZ114" ca="1" si="107">-$CS83/65</f>
        <v>-4.9137695045168347E-3</v>
      </c>
      <c r="DA83" s="24">
        <f t="shared" ref="DA83:DA114" ca="1" si="108">-$CS83/65*-1</f>
        <v>4.9137695045168347E-3</v>
      </c>
      <c r="DB83" s="24">
        <f t="shared" ref="DB83:DB114" ca="1" si="109">-$CS83/33*-1</f>
        <v>9.6786369028361886E-3</v>
      </c>
      <c r="DC83" s="24">
        <f t="shared" ref="DC83:DC114" ca="1" si="110">-$CS83/17*-1</f>
        <v>1.8787942223152602E-2</v>
      </c>
      <c r="DD83" s="24">
        <f t="shared" ref="DD83:DD114" ca="1" si="111">-$CS83/9*-1</f>
        <v>3.5488335310399362E-2</v>
      </c>
      <c r="DE83" s="24">
        <f t="shared" ref="DE83:DE114" ca="1" si="112">-$CS83/5*-1</f>
        <v>6.3879003558718853E-2</v>
      </c>
      <c r="DF83" s="24">
        <f t="shared" ref="DF83:DF114" ca="1" si="113">-$CS83/3*-1</f>
        <v>0.10646500593119808</v>
      </c>
      <c r="DG83" s="24">
        <f t="shared" ref="DG83:DG114" ca="1" si="114">-$CS83/2*-1</f>
        <v>0.15969750889679712</v>
      </c>
      <c r="DI83" s="19" cm="1">
        <f t="array" aca="1" ref="DI83" ca="1">MAX(_xlfn._xlws.FILTER(CT83:DG83,CT83:DG83&lt;BP83))</f>
        <v>4.9137695045168347E-3</v>
      </c>
      <c r="DJ83" s="19" cm="1">
        <f t="array" aca="1" ref="DJ83" ca="1">MIN(_xlfn._xlws.FILTER(CT83:DG83,CT83:DG83&gt;BP83))</f>
        <v>9.6786369028361886E-3</v>
      </c>
      <c r="DK83" s="2" cm="1">
        <f t="array" aca="1" ref="DK83" ca="1">_FV(EH83,"Fechamento anterior",TRUE)</f>
        <v>8.52</v>
      </c>
      <c r="DL83" s="36">
        <f ca="1">(BJ83-DM83)/(DN83-DM83)</f>
        <v>0.44670372513633533</v>
      </c>
      <c r="DM83" s="18">
        <f t="shared" ref="DM83:DM114" ca="1" si="115">DK83+(DK83*DI83)</f>
        <v>8.5618653161784835</v>
      </c>
      <c r="DN83" s="18">
        <f t="shared" ref="DN83:DN114" ca="1" si="116">DK83+(DK83*DJ83)</f>
        <v>8.6024619864121643</v>
      </c>
      <c r="DO83" s="9"/>
      <c r="DP83" s="9"/>
      <c r="DQ83" s="94">
        <v>3.7842721881809834E-3</v>
      </c>
      <c r="DR83" s="94">
        <v>7.2346380068165862E-3</v>
      </c>
      <c r="DS83" s="94">
        <v>4.7783994474354307E-3</v>
      </c>
      <c r="DT83" s="94">
        <f t="shared" ca="1" si="92"/>
        <v>4.7648673983193539E-3</v>
      </c>
      <c r="DU83" s="87">
        <f ca="1">(BJ83-CF83)/(CF83-CE83)</f>
        <v>-0.4705619740572019</v>
      </c>
      <c r="DV83" s="46"/>
      <c r="DW83" s="43">
        <f>_xlfn.STDEV.P(BF83:BI83)</f>
        <v>0.16469669092000594</v>
      </c>
      <c r="DX83" s="76">
        <f ca="1">BO83-$DT$2</f>
        <v>0.30609999999999982</v>
      </c>
      <c r="DY83" s="76">
        <f ca="1">BO83-BP83*100</f>
        <v>0.59899999999999987</v>
      </c>
      <c r="DZ83" s="101"/>
      <c r="EA83" s="100">
        <v>-1.2814000000000001</v>
      </c>
      <c r="EB83" s="107">
        <v>2.8473999999999999</v>
      </c>
      <c r="EC83" s="107">
        <v>1.7304000000000002</v>
      </c>
      <c r="ED83" s="98">
        <f t="shared" ca="1" si="93"/>
        <v>-0.29290000000000005</v>
      </c>
      <c r="EE83" s="66"/>
      <c r="EF83" s="66"/>
      <c r="EH83" s="2" t="e" vm="83">
        <v>#VALUE!</v>
      </c>
      <c r="EJ83" s="10" cm="1">
        <f t="array" aca="1" ref="EJ83" ca="1">_FV(EH83,"Ações em circulação",TRUE)</f>
        <v>123812800</v>
      </c>
      <c r="EK83" s="21">
        <f>VLOOKUP(BK83,Fundamentus!A:U,5,FALSE)</f>
        <v>0.10100000000000001</v>
      </c>
      <c r="EL83" s="2">
        <f ca="1">(BJ83*EJ83)/EK83</f>
        <v>10517958653.465345</v>
      </c>
      <c r="EM83" s="20">
        <v>130555081.18811882</v>
      </c>
      <c r="EN83" s="20">
        <f t="shared" ca="1" si="94"/>
        <v>131474483.16831683</v>
      </c>
      <c r="EP83" s="19">
        <f t="shared" ca="1" si="89"/>
        <v>7.0422535211267512E-3</v>
      </c>
      <c r="EQ83" s="40" t="str">
        <f>IF(VLOOKUP(BK83,Fundamentus!A:U,3,FALSE)&lt;15,"Bom",IF(VLOOKUP(BK83,Fundamentus!A:U,3,FALSE)&gt;15,"Ruim","n/a"))</f>
        <v>Bom</v>
      </c>
      <c r="ER83" s="36" t="str">
        <f>IF(VLOOKUP(BK83,Fundamentus!A:U,4,FALSE)&lt;1,"Baixo",IF(VLOOKUP(BK83,Fundamentus!A:U,4,FALSE)&lt;1.5,"Moderado",IF(VLOOKUP(BK83,Fundamentus!A:U,4,FALSE)&gt;1.5,"Alto","n/a")))</f>
        <v>Baixo</v>
      </c>
      <c r="ES83" s="20" t="str">
        <f>IF(VLOOKUP(BK83,Fundamentus!A:U,8,FALSE)&lt;0,"Risco elevado",IF(VLOOKUP(BK83,Fundamentus!A:U,8,FALSE)&lt;1,"Saudável",IF(VLOOKUP(BK83,Fundamentus!A:U,8,FALSE)&lt;3,"Estável",IF(VLOOKUP(BK83,Fundamentus!A:U,8,FALSE)&gt;3,"Alerta","n/a"))))</f>
        <v>Estável</v>
      </c>
      <c r="ET83" s="36" t="str">
        <f t="shared" si="95"/>
        <v>Ruim</v>
      </c>
      <c r="EU83" s="20" t="str">
        <f>IF(VLOOKUP(BK83,Fundamentus!A:U,12,FALSE)&lt;2,"Subvalorizada",IF(VLOOKUP(BK83,Fundamentus!A:U,12,FALSE)&lt;6,"Muita barata",IF(VLOOKUP(BK83,Fundamentus!A:U,12,FALSE)&lt;6,"Barata",IF(VLOOKUP(BK83,Fundamentus!A:U,12,FALSE)&lt;8,"Atrativa",IF(VLOOKUP(BK83,Fundamentus!A:U,12,FALSE)&gt;8,"Supervalorizada","n/a")))))</f>
        <v>Muita barata</v>
      </c>
      <c r="EW83" s="20" t="str">
        <f>IF(VLOOKUP(BK83,Fundamentus!A:U,17,FALSE)&lt;0.1,"Fraco retorno",IF(VLOOKUP(BK83,Fundamentus!A:U,17,FALSE)&gt;0.1,"Bom retorno","n/a"))</f>
        <v>Fraco retorno</v>
      </c>
      <c r="EX83" s="20" t="str">
        <f>IF(VLOOKUP(BK83,Fundamentus!A:U,16,FALSE)&lt;0.1,"Ineficiente",IF(VLOOKUP(BK83,Fundamentus!A:U,16,FALSE)&gt;0.1,"Eficiente","n/a"))</f>
        <v>Ineficiente</v>
      </c>
      <c r="EY83" s="41" t="str">
        <f>IF(VLOOKUP(BK83,Fundamentus!A:U,16,FALSE)&lt;0.1,"Oper. Ineficiente",IF(VLOOKUP(BK83,Fundamentus!A:U,16,FALSE)&gt;0.1,"Oper.Eficiente","n/a"))</f>
        <v>Oper. Ineficiente</v>
      </c>
      <c r="EZ83" s="42">
        <f>VLOOKUP(BK83,Fundamentus!A:U,14,FALSE)</f>
        <v>1.2500000000000001E-2</v>
      </c>
      <c r="FA83" s="20" t="str">
        <f>IF(VLOOKUP(BK83,Fundamentus!A:U,21,FALSE)&lt;0,"Negativo",IF(VLOOKUP(BK83,Fundamentus!A:U,21,FALSE)&lt;0.05,"Fraco",IF(VLOOKUP(BK83,Fundamentus!A:U,21,FALSE)&lt;0.1,"Bom",IF(VLOOKUP(BK83,Fundamentus!A:U,21,FALSE)&gt;0.1,"Muito bom","n/a"))))</f>
        <v>Muito bom</v>
      </c>
      <c r="FC83" s="37" t="str">
        <f>IF(VLOOKUP(BK83,Fundamentus!A:U,15,FALSE)&gt;1,"Bom",IF(VLOOKUP(BK83,Fundamentus!A:U,15,FALSE)&lt;1,"Ruim","n/a"))</f>
        <v>Bom</v>
      </c>
      <c r="FD83" s="20" t="str">
        <f>IF(VLOOKUP(BK83,Fundamentus!A:U,20,FALSE)&lt;0.5,"Baixa",IF(VLOOKUP(BK83,Fundamentus!A:U,20,FALSE)&lt;1,"Moderada",IF(VLOOKUP(BK83,Fundamentus!A:U,20,FALSE)&lt;2,"Alerta",IF(VLOOKUP(BK83,Fundamentus!A:U,20,FALSE)&gt;2,"Alta","n/a"))))</f>
        <v>Moderada</v>
      </c>
      <c r="FE83" s="10"/>
    </row>
    <row r="84" spans="1:161" s="2" customFormat="1" ht="11.25" hidden="1"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8">
        <v>36.81</v>
      </c>
      <c r="BC84" s="62">
        <v>36.99</v>
      </c>
      <c r="BD84" s="62">
        <v>36.29</v>
      </c>
      <c r="BE84" s="62">
        <v>36.65</v>
      </c>
      <c r="BF84" s="62">
        <v>36.25</v>
      </c>
      <c r="BG84" s="81">
        <v>36.4</v>
      </c>
      <c r="BH84" s="62">
        <v>35.93</v>
      </c>
      <c r="BI84" s="62">
        <v>35.28</v>
      </c>
      <c r="BJ84" s="62" cm="1">
        <f t="array" aca="1" ref="BJ84" ca="1">_FV(EH84,"Preço")</f>
        <v>35.81</v>
      </c>
      <c r="BK84" s="83" t="s">
        <v>81</v>
      </c>
      <c r="BL84" s="44" cm="1">
        <f t="array" aca="1" ref="BL84" ca="1">_FV(EH84,"Média de volume",TRUE)</f>
        <v>8318400</v>
      </c>
      <c r="BM84" s="44">
        <v>5046200</v>
      </c>
      <c r="BN84" s="44" cm="1">
        <f t="array" aca="1" ref="BN84" ca="1">_FV(EH84,"Volume")</f>
        <v>2704900</v>
      </c>
      <c r="BO84" s="32" cm="1">
        <f t="array" aca="1" ref="BO84" ca="1">_FV(EH84,"Beta")</f>
        <v>0.92330000000000001</v>
      </c>
      <c r="BP84" s="86" cm="1">
        <f t="array" aca="1" ref="BP84" ca="1">_FV(EH84,"Variação (%)",TRUE)</f>
        <v>1.5023E-2</v>
      </c>
      <c r="BQ84" s="48"/>
      <c r="BR84" s="48"/>
      <c r="BT84" s="20" cm="1">
        <f t="array" aca="1" ref="BT84" ca="1">_FV(EH84,"Baixo")</f>
        <v>35.119999999999997</v>
      </c>
      <c r="BU84" s="20" cm="1">
        <f t="array" aca="1" ref="BU84" ca="1">_FV(EH84,"Alto")</f>
        <v>35.99</v>
      </c>
      <c r="BV84" s="32"/>
      <c r="BW84" s="73">
        <f ca="1">SQRT(22.5*(BJ84/VLOOKUP(BK84,Fundamentus!A:U,3,FALSE))*(BJ84/VLOOKUP(BK84,Fundamentus!A:U,4,FALSE)))</f>
        <v>33.875602828713035</v>
      </c>
      <c r="BY84" s="72">
        <f t="shared" ca="1" si="90"/>
        <v>1.5022675736961482E-2</v>
      </c>
      <c r="BZ84" s="8"/>
      <c r="CA84" s="71">
        <f t="shared" si="98"/>
        <v>26.24</v>
      </c>
      <c r="CB84" s="71">
        <f t="shared" si="91"/>
        <v>36.99</v>
      </c>
      <c r="CC84" s="71">
        <f t="shared" si="99"/>
        <v>32.253360655737708</v>
      </c>
      <c r="CD84" s="17"/>
      <c r="CE84" s="43">
        <f t="shared" si="96"/>
        <v>34.259244517879679</v>
      </c>
      <c r="CF84" s="18">
        <f>FORECAST("04/07/2025", BF84:BI84, $BF$5:$BI$5)</f>
        <v>35.119999999999891</v>
      </c>
      <c r="CG84" s="43">
        <f t="shared" si="97"/>
        <v>35.980755482120102</v>
      </c>
      <c r="CI84" s="17"/>
      <c r="CJ84" s="20">
        <f>CA84-2*(CB84-CM84)</f>
        <v>17.933333333333326</v>
      </c>
      <c r="CK84" s="20">
        <f>CM84-(CB84-CA84)</f>
        <v>22.086666666666662</v>
      </c>
      <c r="CL84" s="20">
        <f>2*CM84-CB84</f>
        <v>28.68333333333333</v>
      </c>
      <c r="CM84" s="48">
        <f>(CB84+CA84+BI84)/3</f>
        <v>32.836666666666666</v>
      </c>
      <c r="CN84" s="20">
        <f>2*CM84-CA84</f>
        <v>39.433333333333337</v>
      </c>
      <c r="CO84" s="20">
        <f>CM84+(CB84-CA84)</f>
        <v>43.586666666666673</v>
      </c>
      <c r="CP84" s="20">
        <f>CB84+2*(CM84-CA84)</f>
        <v>50.183333333333337</v>
      </c>
      <c r="CQ84" s="2" cm="1">
        <f t="array" aca="1" ref="CQ84" ca="1">MAX(_xlfn._xlws.FILTER(CJ84:CP84,CJ84:CP84&lt;BJ84))</f>
        <v>32.836666666666666</v>
      </c>
      <c r="CR84" s="2" cm="1">
        <f t="array" aca="1" ref="CR84" ca="1">MIN(_xlfn._xlws.FILTER($CJ84:$CP84,$CJ84:$CP84&gt;BJ84))</f>
        <v>39.433333333333337</v>
      </c>
      <c r="CS84" s="19">
        <f t="shared" ca="1" si="100"/>
        <v>0.20089331032382507</v>
      </c>
      <c r="CT84" s="23">
        <f t="shared" ca="1" si="101"/>
        <v>-0.10044665516191253</v>
      </c>
      <c r="CU84" s="23">
        <f t="shared" ca="1" si="102"/>
        <v>-6.6964436774608352E-2</v>
      </c>
      <c r="CV84" s="23">
        <f t="shared" ca="1" si="103"/>
        <v>-4.0178662064765017E-2</v>
      </c>
      <c r="CW84" s="23">
        <f t="shared" ca="1" si="104"/>
        <v>-2.2321478924869451E-2</v>
      </c>
      <c r="CX84" s="23">
        <f t="shared" ca="1" si="105"/>
        <v>-1.1817253548460298E-2</v>
      </c>
      <c r="CY84" s="23">
        <f t="shared" ca="1" si="106"/>
        <v>-6.0876760704189417E-3</v>
      </c>
      <c r="CZ84" s="23">
        <f t="shared" ca="1" si="107"/>
        <v>-3.0906663126742317E-3</v>
      </c>
      <c r="DA84" s="24">
        <f t="shared" ca="1" si="108"/>
        <v>3.0906663126742317E-3</v>
      </c>
      <c r="DB84" s="24">
        <f t="shared" ca="1" si="109"/>
        <v>6.0876760704189417E-3</v>
      </c>
      <c r="DC84" s="24">
        <f t="shared" ca="1" si="110"/>
        <v>1.1817253548460298E-2</v>
      </c>
      <c r="DD84" s="24">
        <f t="shared" ca="1" si="111"/>
        <v>2.2321478924869451E-2</v>
      </c>
      <c r="DE84" s="24">
        <f t="shared" ca="1" si="112"/>
        <v>4.0178662064765017E-2</v>
      </c>
      <c r="DF84" s="24">
        <f t="shared" ca="1" si="113"/>
        <v>6.6964436774608352E-2</v>
      </c>
      <c r="DG84" s="24">
        <f t="shared" ca="1" si="114"/>
        <v>0.10044665516191253</v>
      </c>
      <c r="DI84" s="19" cm="1">
        <f t="array" aca="1" ref="DI84" ca="1">MAX(_xlfn._xlws.FILTER(CT84:DG84,CT84:DG84&lt;BP84))</f>
        <v>1.1817253548460298E-2</v>
      </c>
      <c r="DJ84" s="19" cm="1">
        <f t="array" aca="1" ref="DJ84" ca="1">MIN(_xlfn._xlws.FILTER(CT84:DG84,CT84:DG84&gt;BP84))</f>
        <v>2.2321478924869451E-2</v>
      </c>
      <c r="DK84" s="2" cm="1">
        <f t="array" aca="1" ref="DK84" ca="1">_FV(EH84,"Fechamento anterior",TRUE)</f>
        <v>35.28</v>
      </c>
      <c r="DL84" s="36">
        <f ca="1">(BJ84-DM84)/(DN84-DM84)</f>
        <v>0.30515550396510555</v>
      </c>
      <c r="DM84" s="18">
        <f t="shared" ca="1" si="115"/>
        <v>35.696912705189682</v>
      </c>
      <c r="DN84" s="18">
        <f t="shared" ca="1" si="116"/>
        <v>36.067501776469392</v>
      </c>
      <c r="DO84" s="9"/>
      <c r="DP84" s="9"/>
      <c r="DQ84" s="94">
        <v>8.8873451812891656E-3</v>
      </c>
      <c r="DR84" s="94">
        <v>8.8873451812891656E-3</v>
      </c>
      <c r="DS84" s="94">
        <v>3.1310253532475796E-3</v>
      </c>
      <c r="DT84" s="94">
        <f t="shared" ca="1" si="92"/>
        <v>1.0504225376409153E-2</v>
      </c>
      <c r="DU84" s="87">
        <f ca="1">(BJ84-CF84)/(CF84-CE84)</f>
        <v>0.80162138299776442</v>
      </c>
      <c r="DV84" s="46"/>
      <c r="DW84" s="43">
        <f>_xlfn.STDEV.P(BF84:BI84)</f>
        <v>0.43037774106010562</v>
      </c>
      <c r="DX84" s="76">
        <f ca="1">BO84-$DT$2</f>
        <v>-7.3800000000000088E-2</v>
      </c>
      <c r="DY84" s="76">
        <f ca="1">BO84-BP84*100</f>
        <v>-0.57899999999999996</v>
      </c>
      <c r="DZ84" s="101"/>
      <c r="EA84" s="100">
        <v>-0.4597</v>
      </c>
      <c r="EB84" s="107">
        <v>-0.69589999999999996</v>
      </c>
      <c r="EC84" s="107">
        <v>-0.38280000000000003</v>
      </c>
      <c r="ED84" s="98">
        <f t="shared" ca="1" si="93"/>
        <v>0.50519999999999987</v>
      </c>
      <c r="EE84" s="66"/>
      <c r="EF84" s="66"/>
      <c r="EH84" s="2" t="e" vm="84">
        <v>#VALUE!</v>
      </c>
      <c r="EJ84" s="10" cm="1">
        <f t="array" aca="1" ref="EJ84" ca="1">_FV(EH84,"Ações em circulação",TRUE)</f>
        <v>1254548000</v>
      </c>
      <c r="EK84" s="21">
        <f>VLOOKUP(BK84,Fundamentus!A:U,5,FALSE)</f>
        <v>0.96799999999999997</v>
      </c>
      <c r="EL84" s="2">
        <f ca="1">(BJ84*EJ84)/EK84</f>
        <v>46410499876.033058</v>
      </c>
      <c r="EM84" s="20">
        <v>3776770097.2561989</v>
      </c>
      <c r="EN84" s="20">
        <f t="shared" ca="1" si="94"/>
        <v>3833507289.7603312</v>
      </c>
      <c r="EP84" s="19">
        <f t="shared" ca="1" si="89"/>
        <v>1.5022675736961366E-2</v>
      </c>
      <c r="EQ84" s="40" t="str">
        <f>IF(VLOOKUP(BK84,Fundamentus!A:U,3,FALSE)&lt;15,"Bom",IF(VLOOKUP(BK84,Fundamentus!A:U,3,FALSE)&gt;15,"Ruim","n/a"))</f>
        <v>Bom</v>
      </c>
      <c r="ER84" s="36" t="str">
        <f>IF(VLOOKUP(BK84,Fundamentus!A:U,4,FALSE)&lt;1,"Baixo",IF(VLOOKUP(BK84,Fundamentus!A:U,4,FALSE)&lt;1.5,"Moderado",IF(VLOOKUP(BK84,Fundamentus!A:U,4,FALSE)&gt;1.5,"Alto","n/a")))</f>
        <v>Alto</v>
      </c>
      <c r="ES84" s="20" t="str">
        <f>IF(VLOOKUP(BK84,Fundamentus!A:U,8,FALSE)&lt;0,"Risco elevado",IF(VLOOKUP(BK84,Fundamentus!A:U,8,FALSE)&lt;1,"Saudável",IF(VLOOKUP(BK84,Fundamentus!A:U,8,FALSE)&lt;3,"Estável",IF(VLOOKUP(BK84,Fundamentus!A:U,8,FALSE)&gt;3,"Alerta","n/a"))))</f>
        <v>Alerta</v>
      </c>
      <c r="ET84" s="36" t="str">
        <f t="shared" si="95"/>
        <v>Ruim</v>
      </c>
      <c r="EU84" s="20" t="str">
        <f>IF(VLOOKUP(BK84,Fundamentus!A:U,12,FALSE)&lt;2,"Subvalorizada",IF(VLOOKUP(BK84,Fundamentus!A:U,12,FALSE)&lt;6,"Muita barata",IF(VLOOKUP(BK84,Fundamentus!A:U,12,FALSE)&lt;6,"Barata",IF(VLOOKUP(BK84,Fundamentus!A:U,12,FALSE)&lt;8,"Atrativa",IF(VLOOKUP(BK84,Fundamentus!A:U,12,FALSE)&gt;8,"Supervalorizada","n/a")))))</f>
        <v>Atrativa</v>
      </c>
      <c r="EW84" s="20" t="str">
        <f>IF(VLOOKUP(BK84,Fundamentus!A:U,17,FALSE)&lt;0.1,"Fraco retorno",IF(VLOOKUP(BK84,Fundamentus!A:U,17,FALSE)&gt;0.1,"Bom retorno","n/a"))</f>
        <v>Bom retorno</v>
      </c>
      <c r="EX84" s="20" t="str">
        <f>IF(VLOOKUP(BK84,Fundamentus!A:U,16,FALSE)&lt;0.1,"Ineficiente",IF(VLOOKUP(BK84,Fundamentus!A:U,16,FALSE)&gt;0.1,"Eficiente","n/a"))</f>
        <v>Ineficiente</v>
      </c>
      <c r="EY84" s="41" t="str">
        <f>IF(VLOOKUP(BK84,Fundamentus!A:U,16,FALSE)&lt;0.1,"Oper. Ineficiente",IF(VLOOKUP(BK84,Fundamentus!A:U,16,FALSE)&gt;0.1,"Oper.Eficiente","n/a"))</f>
        <v>Oper. Ineficiente</v>
      </c>
      <c r="EZ84" s="42">
        <f>VLOOKUP(BK84,Fundamentus!A:U,14,FALSE)</f>
        <v>8.2600000000000007E-2</v>
      </c>
      <c r="FA84" s="20" t="str">
        <f>IF(VLOOKUP(BK84,Fundamentus!A:U,21,FALSE)&lt;0,"Negativo",IF(VLOOKUP(BK84,Fundamentus!A:U,21,FALSE)&lt;0.05,"Fraco",IF(VLOOKUP(BK84,Fundamentus!A:U,21,FALSE)&lt;0.1,"Bom",IF(VLOOKUP(BK84,Fundamentus!A:U,21,FALSE)&gt;0.1,"Muito bom","n/a"))))</f>
        <v>Muito bom</v>
      </c>
      <c r="FC84" s="37" t="str">
        <f>IF(VLOOKUP(BK84,Fundamentus!A:U,15,FALSE)&gt;1,"Bom",IF(VLOOKUP(BK84,Fundamentus!A:U,15,FALSE)&lt;1,"Ruim","n/a"))</f>
        <v>Bom</v>
      </c>
      <c r="FD84" s="20" t="str">
        <f>IF(VLOOKUP(BK84,Fundamentus!A:U,20,FALSE)&lt;0.5,"Baixa",IF(VLOOKUP(BK84,Fundamentus!A:U,20,FALSE)&lt;1,"Moderada",IF(VLOOKUP(BK84,Fundamentus!A:U,20,FALSE)&lt;2,"Alerta",IF(VLOOKUP(BK84,Fundamentus!A:U,20,FALSE)&gt;2,"Alta","n/a"))))</f>
        <v>Alta</v>
      </c>
      <c r="FE84" s="10"/>
    </row>
    <row r="85" spans="1:161" s="2" customFormat="1" ht="11.25" hidden="1"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8">
        <v>22.72</v>
      </c>
      <c r="BC85" s="62">
        <v>23.53</v>
      </c>
      <c r="BD85" s="62">
        <v>24.4</v>
      </c>
      <c r="BE85" s="62">
        <v>25.05</v>
      </c>
      <c r="BF85" s="62">
        <v>24.51</v>
      </c>
      <c r="BG85" s="81">
        <v>24.45</v>
      </c>
      <c r="BH85" s="62">
        <v>24.99</v>
      </c>
      <c r="BI85" s="62">
        <v>24.91</v>
      </c>
      <c r="BJ85" s="62" cm="1">
        <f t="array" aca="1" ref="BJ85" ca="1">_FV(EH85,"Preço")</f>
        <v>25.34</v>
      </c>
      <c r="BK85" s="83" t="s">
        <v>82</v>
      </c>
      <c r="BL85" s="44" cm="1">
        <f t="array" aca="1" ref="BL85" ca="1">_FV(EH85,"Média de volume",TRUE)</f>
        <v>1345360</v>
      </c>
      <c r="BM85" s="44">
        <v>549500</v>
      </c>
      <c r="BN85" s="44" cm="1">
        <f t="array" aca="1" ref="BN85" ca="1">_FV(EH85,"Volume")</f>
        <v>228500</v>
      </c>
      <c r="BO85" s="32" cm="1">
        <f t="array" aca="1" ref="BO85" ca="1">_FV(EH85,"Beta")</f>
        <v>0.77090000000000003</v>
      </c>
      <c r="BP85" s="86" cm="1">
        <f t="array" aca="1" ref="BP85" ca="1">_FV(EH85,"Variação (%)",TRUE)</f>
        <v>1.7262E-2</v>
      </c>
      <c r="BQ85" s="48"/>
      <c r="BR85" s="48"/>
      <c r="BT85" s="20" cm="1">
        <f t="array" aca="1" ref="BT85" ca="1">_FV(EH85,"Baixo")</f>
        <v>24.76</v>
      </c>
      <c r="BU85" s="20" cm="1">
        <f t="array" aca="1" ref="BU85" ca="1">_FV(EH85,"Alto")</f>
        <v>25.4</v>
      </c>
      <c r="BV85" s="32"/>
      <c r="BW85" s="73">
        <f ca="1">SQRT(22.5*(BJ85/VLOOKUP(BK85,Fundamentus!A:U,3,FALSE))*(BJ85/VLOOKUP(BK85,Fundamentus!A:U,4,FALSE)))</f>
        <v>44.052580351097959</v>
      </c>
      <c r="BY85" s="72">
        <f t="shared" ca="1" si="90"/>
        <v>1.7262143717382567E-2</v>
      </c>
      <c r="BZ85" s="8"/>
      <c r="CA85" s="71">
        <f t="shared" si="98"/>
        <v>18.100000000000001</v>
      </c>
      <c r="CB85" s="71">
        <f t="shared" si="91"/>
        <v>25.05</v>
      </c>
      <c r="CC85" s="71">
        <f t="shared" si="99"/>
        <v>20.097868852459019</v>
      </c>
      <c r="CD85" s="17"/>
      <c r="CE85" s="43">
        <f t="shared" si="96"/>
        <v>24.674710614467219</v>
      </c>
      <c r="CF85" s="18">
        <f>FORECAST("04/07/2025", BF85:BI85, $BF$5:$BI$5)</f>
        <v>25.149999999999864</v>
      </c>
      <c r="CG85" s="43">
        <f t="shared" si="97"/>
        <v>25.625289385532508</v>
      </c>
      <c r="CI85" s="17"/>
      <c r="CJ85" s="20">
        <f>CA85-2*(CB85-CM85)</f>
        <v>13.373333333333335</v>
      </c>
      <c r="CK85" s="20">
        <f>CM85-(CB85-CA85)</f>
        <v>15.736666666666668</v>
      </c>
      <c r="CL85" s="20">
        <f>2*CM85-CB85</f>
        <v>20.323333333333334</v>
      </c>
      <c r="CM85" s="48">
        <f>(CB85+CA85+BI85)/3</f>
        <v>22.686666666666667</v>
      </c>
      <c r="CN85" s="20">
        <f>2*CM85-CA85</f>
        <v>27.273333333333333</v>
      </c>
      <c r="CO85" s="20">
        <f>CM85+(CB85-CA85)</f>
        <v>29.636666666666667</v>
      </c>
      <c r="CP85" s="20">
        <f>CB85+2*(CM85-CA85)</f>
        <v>34.223333333333329</v>
      </c>
      <c r="CQ85" s="2" cm="1">
        <f t="array" aca="1" ref="CQ85" ca="1">MAX(_xlfn._xlws.FILTER(CJ85:CP85,CJ85:CP85&lt;BJ85))</f>
        <v>22.686666666666667</v>
      </c>
      <c r="CR85" s="2" cm="1">
        <f t="array" aca="1" ref="CR85" ca="1">MIN(_xlfn._xlws.FILTER($CJ85:$CP85,$CJ85:$CP85&gt;BJ85))</f>
        <v>27.273333333333333</v>
      </c>
      <c r="CS85" s="19">
        <f t="shared" ca="1" si="100"/>
        <v>0.20217455186600053</v>
      </c>
      <c r="CT85" s="23">
        <f t="shared" ca="1" si="101"/>
        <v>-0.10108727593300026</v>
      </c>
      <c r="CU85" s="23">
        <f t="shared" ca="1" si="102"/>
        <v>-6.7391517288666838E-2</v>
      </c>
      <c r="CV85" s="23">
        <f t="shared" ca="1" si="103"/>
        <v>-4.0434910373200107E-2</v>
      </c>
      <c r="CW85" s="23">
        <f t="shared" ca="1" si="104"/>
        <v>-2.2463839096222279E-2</v>
      </c>
      <c r="CX85" s="23">
        <f t="shared" ca="1" si="105"/>
        <v>-1.1892620698000031E-2</v>
      </c>
      <c r="CY85" s="23">
        <f t="shared" ca="1" si="106"/>
        <v>-6.1265015716969861E-3</v>
      </c>
      <c r="CZ85" s="23">
        <f t="shared" ca="1" si="107"/>
        <v>-3.1103777210153929E-3</v>
      </c>
      <c r="DA85" s="24">
        <f t="shared" ca="1" si="108"/>
        <v>3.1103777210153929E-3</v>
      </c>
      <c r="DB85" s="24">
        <f t="shared" ca="1" si="109"/>
        <v>6.1265015716969861E-3</v>
      </c>
      <c r="DC85" s="24">
        <f t="shared" ca="1" si="110"/>
        <v>1.1892620698000031E-2</v>
      </c>
      <c r="DD85" s="24">
        <f t="shared" ca="1" si="111"/>
        <v>2.2463839096222279E-2</v>
      </c>
      <c r="DE85" s="24">
        <f t="shared" ca="1" si="112"/>
        <v>4.0434910373200107E-2</v>
      </c>
      <c r="DF85" s="24">
        <f t="shared" ca="1" si="113"/>
        <v>6.7391517288666838E-2</v>
      </c>
      <c r="DG85" s="24">
        <f t="shared" ca="1" si="114"/>
        <v>0.10108727593300026</v>
      </c>
      <c r="DI85" s="19" cm="1">
        <f t="array" aca="1" ref="DI85" ca="1">MAX(_xlfn._xlws.FILTER(CT85:DG85,CT85:DG85&lt;BP85))</f>
        <v>1.1892620698000031E-2</v>
      </c>
      <c r="DJ85" s="19" cm="1">
        <f t="array" aca="1" ref="DJ85" ca="1">MIN(_xlfn._xlws.FILTER(CT85:DG85,CT85:DG85&gt;BP85))</f>
        <v>2.2463839096222279E-2</v>
      </c>
      <c r="DK85" s="2" cm="1">
        <f t="array" aca="1" ref="DK85" ca="1">_FV(EH85,"Fechamento anterior",TRUE)</f>
        <v>24.91</v>
      </c>
      <c r="DL85" s="36">
        <f ca="1">(BJ85-DM85)/(DN85-DM85)</f>
        <v>0.50793795162584787</v>
      </c>
      <c r="DM85" s="18">
        <f t="shared" ca="1" si="115"/>
        <v>25.206245181587182</v>
      </c>
      <c r="DN85" s="18">
        <f t="shared" ca="1" si="116"/>
        <v>25.469574231886899</v>
      </c>
      <c r="DO85" s="9"/>
      <c r="DP85" s="9"/>
      <c r="DQ85" s="94">
        <v>2.5531515464401362E-3</v>
      </c>
      <c r="DR85" s="94">
        <v>5.2658750645327799E-3</v>
      </c>
      <c r="DS85" s="94">
        <v>6.0537096040054602E-3</v>
      </c>
      <c r="DT85" s="94">
        <f t="shared" ca="1" si="92"/>
        <v>1.0571218398222249E-2</v>
      </c>
      <c r="DU85" s="87">
        <f ca="1">(BJ85-CF85)/(CF85-CE85)</f>
        <v>0.39975645529556347</v>
      </c>
      <c r="DV85" s="46"/>
      <c r="DW85" s="43">
        <f>_xlfn.STDEV.P(BF85:BI85)</f>
        <v>0.23764469276632233</v>
      </c>
      <c r="DX85" s="76">
        <f ca="1">BO85-$DT$2</f>
        <v>-0.22620000000000007</v>
      </c>
      <c r="DY85" s="76">
        <f ca="1">BO85-BP85*100</f>
        <v>-0.95529999999999993</v>
      </c>
      <c r="DZ85" s="101"/>
      <c r="EA85" s="100">
        <v>1.4710000000000001</v>
      </c>
      <c r="EB85" s="107">
        <v>-1.5585999999999998</v>
      </c>
      <c r="EC85" s="107">
        <v>-0.21890000000000009</v>
      </c>
      <c r="ED85" s="98">
        <f t="shared" ca="1" si="93"/>
        <v>0.72909999999999986</v>
      </c>
      <c r="EE85" s="66"/>
      <c r="EF85" s="66"/>
      <c r="EH85" s="2" t="e" vm="85">
        <v>#VALUE!</v>
      </c>
      <c r="EJ85" s="10" cm="1">
        <f t="array" aca="1" ref="EJ85" ca="1">_FV(EH85,"Ações em circulação",TRUE)</f>
        <v>1213797000</v>
      </c>
      <c r="EK85" s="21">
        <f>VLOOKUP(BK85,Fundamentus!A:U,5,FALSE)</f>
        <v>0.59799999999999998</v>
      </c>
      <c r="EL85" s="2">
        <f ca="1">(BJ85*EJ85)/EK85</f>
        <v>51434140434.782608</v>
      </c>
      <c r="EM85" s="20">
        <v>3605023774.5000005</v>
      </c>
      <c r="EN85" s="20">
        <f t="shared" ca="1" si="94"/>
        <v>3667254213</v>
      </c>
      <c r="EP85" s="19">
        <f t="shared" ca="1" si="89"/>
        <v>1.726214371738255E-2</v>
      </c>
      <c r="EQ85" s="40" t="str">
        <f>IF(VLOOKUP(BK85,Fundamentus!A:U,3,FALSE)&lt;15,"Bom",IF(VLOOKUP(BK85,Fundamentus!A:U,3,FALSE)&gt;15,"Ruim","n/a"))</f>
        <v>Bom</v>
      </c>
      <c r="ER85" s="36" t="str">
        <f>IF(VLOOKUP(BK85,Fundamentus!A:U,4,FALSE)&lt;1,"Baixo",IF(VLOOKUP(BK85,Fundamentus!A:U,4,FALSE)&lt;1.5,"Moderado",IF(VLOOKUP(BK85,Fundamentus!A:U,4,FALSE)&gt;1.5,"Alto","n/a")))</f>
        <v>Baixo</v>
      </c>
      <c r="ES85" s="20" t="str">
        <f>IF(VLOOKUP(BK85,Fundamentus!A:U,8,FALSE)&lt;0,"Risco elevado",IF(VLOOKUP(BK85,Fundamentus!A:U,8,FALSE)&lt;1,"Saudável",IF(VLOOKUP(BK85,Fundamentus!A:U,8,FALSE)&lt;3,"Estável",IF(VLOOKUP(BK85,Fundamentus!A:U,8,FALSE)&gt;3,"Alerta","n/a"))))</f>
        <v>Alerta</v>
      </c>
      <c r="ET85" s="36" t="str">
        <f t="shared" si="95"/>
        <v>Ruim</v>
      </c>
      <c r="EU85" s="20" t="str">
        <f>IF(VLOOKUP(BK85,Fundamentus!A:U,12,FALSE)&lt;2,"Subvalorizada",IF(VLOOKUP(BK85,Fundamentus!A:U,12,FALSE)&lt;6,"Muita barata",IF(VLOOKUP(BK85,Fundamentus!A:U,12,FALSE)&lt;6,"Barata",IF(VLOOKUP(BK85,Fundamentus!A:U,12,FALSE)&lt;8,"Atrativa",IF(VLOOKUP(BK85,Fundamentus!A:U,12,FALSE)&gt;8,"Supervalorizada","n/a")))))</f>
        <v>Muita barata</v>
      </c>
      <c r="EW85" s="20" t="str">
        <f>IF(VLOOKUP(BK85,Fundamentus!A:U,17,FALSE)&lt;0.1,"Fraco retorno",IF(VLOOKUP(BK85,Fundamentus!A:U,17,FALSE)&gt;0.1,"Bom retorno","n/a"))</f>
        <v>Bom retorno</v>
      </c>
      <c r="EX85" s="20" t="str">
        <f>IF(VLOOKUP(BK85,Fundamentus!A:U,16,FALSE)&lt;0.1,"Ineficiente",IF(VLOOKUP(BK85,Fundamentus!A:U,16,FALSE)&gt;0.1,"Eficiente","n/a"))</f>
        <v>Eficiente</v>
      </c>
      <c r="EY85" s="41" t="str">
        <f>IF(VLOOKUP(BK85,Fundamentus!A:U,16,FALSE)&lt;0.1,"Oper. Ineficiente",IF(VLOOKUP(BK85,Fundamentus!A:U,16,FALSE)&gt;0.1,"Oper.Eficiente","n/a"))</f>
        <v>Oper.Eficiente</v>
      </c>
      <c r="EZ85" s="42">
        <f>VLOOKUP(BK85,Fundamentus!A:U,14,FALSE)</f>
        <v>7.1300000000000002E-2</v>
      </c>
      <c r="FA85" s="20" t="str">
        <f>IF(VLOOKUP(BK85,Fundamentus!A:U,21,FALSE)&lt;0,"Negativo",IF(VLOOKUP(BK85,Fundamentus!A:U,21,FALSE)&lt;0.05,"Fraco",IF(VLOOKUP(BK85,Fundamentus!A:U,21,FALSE)&lt;0.1,"Bom",IF(VLOOKUP(BK85,Fundamentus!A:U,21,FALSE)&gt;0.1,"Muito bom","n/a"))))</f>
        <v>Bom</v>
      </c>
      <c r="FC85" s="37" t="str">
        <f>IF(VLOOKUP(BK85,Fundamentus!A:U,15,FALSE)&gt;1,"Bom",IF(VLOOKUP(BK85,Fundamentus!A:U,15,FALSE)&lt;1,"Ruim","n/a"))</f>
        <v>Bom</v>
      </c>
      <c r="FD85" s="20" t="str">
        <f>IF(VLOOKUP(BK85,Fundamentus!A:U,20,FALSE)&lt;0.5,"Baixa",IF(VLOOKUP(BK85,Fundamentus!A:U,20,FALSE)&lt;1,"Moderada",IF(VLOOKUP(BK85,Fundamentus!A:U,20,FALSE)&lt;2,"Alerta",IF(VLOOKUP(BK85,Fundamentus!A:U,20,FALSE)&gt;2,"Alta","n/a"))))</f>
        <v>Alerta</v>
      </c>
      <c r="FE85" s="10"/>
    </row>
    <row r="86" spans="1:161" s="2" customFormat="1" ht="11.25" hidden="1"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8">
        <v>5.61</v>
      </c>
      <c r="BC86" s="62">
        <v>5.12</v>
      </c>
      <c r="BD86" s="62">
        <v>4.93</v>
      </c>
      <c r="BE86" s="62">
        <v>4.72</v>
      </c>
      <c r="BF86" s="62">
        <v>4.42</v>
      </c>
      <c r="BG86" s="81">
        <v>4.46</v>
      </c>
      <c r="BH86" s="62">
        <v>4.28</v>
      </c>
      <c r="BI86" s="62">
        <v>4.41</v>
      </c>
      <c r="BJ86" s="62" cm="1">
        <f t="array" aca="1" ref="BJ86" ca="1">_FV(EH86,"Preço")</f>
        <v>4.5</v>
      </c>
      <c r="BK86" s="83" t="s">
        <v>83</v>
      </c>
      <c r="BL86" s="44" cm="1">
        <f t="array" aca="1" ref="BL86" ca="1">_FV(EH86,"Média de volume",TRUE)</f>
        <v>939810</v>
      </c>
      <c r="BM86" s="44">
        <v>1325800</v>
      </c>
      <c r="BN86" s="44" cm="1">
        <f t="array" aca="1" ref="BN86" ca="1">_FV(EH86,"Volume")</f>
        <v>356700</v>
      </c>
      <c r="BO86" s="32" cm="1">
        <f t="array" aca="1" ref="BO86" ca="1">_FV(EH86,"Beta")</f>
        <v>1.8165</v>
      </c>
      <c r="BP86" s="86" cm="1">
        <f t="array" aca="1" ref="BP86" ca="1">_FV(EH86,"Variação (%)",TRUE)</f>
        <v>2.0407999999999999E-2</v>
      </c>
      <c r="BQ86" s="48"/>
      <c r="BR86" s="48"/>
      <c r="BT86" s="20" cm="1">
        <f t="array" aca="1" ref="BT86" ca="1">_FV(EH86,"Baixo")</f>
        <v>4.3600000000000003</v>
      </c>
      <c r="BU86" s="20" cm="1">
        <f t="array" aca="1" ref="BU86" ca="1">_FV(EH86,"Alto")</f>
        <v>4.54</v>
      </c>
      <c r="BV86" s="32"/>
      <c r="BW86" s="73">
        <f ca="1">SQRT(22.5*(BJ86/VLOOKUP(BK86,Fundamentus!A:U,3,FALSE))*(BJ86/VLOOKUP(BK86,Fundamentus!A:U,4,FALSE)))</f>
        <v>2.3240916427472298</v>
      </c>
      <c r="BY86" s="72">
        <f t="shared" ca="1" si="90"/>
        <v>2.040816326530609E-2</v>
      </c>
      <c r="BZ86" s="8"/>
      <c r="CA86" s="71">
        <f t="shared" si="98"/>
        <v>4.28</v>
      </c>
      <c r="CB86" s="71">
        <f t="shared" si="91"/>
        <v>10.01</v>
      </c>
      <c r="CC86" s="71">
        <f t="shared" si="99"/>
        <v>6.224344262295082</v>
      </c>
      <c r="CD86" s="17"/>
      <c r="CE86" s="43">
        <f t="shared" si="96"/>
        <v>4.2048149416540461</v>
      </c>
      <c r="CF86" s="18">
        <f>FORECAST("04/07/2025", BF86:BI86, $BF$5:$BI$5)</f>
        <v>4.3400000000000034</v>
      </c>
      <c r="CG86" s="43">
        <f t="shared" si="97"/>
        <v>4.4751850583459607</v>
      </c>
      <c r="CI86" s="17"/>
      <c r="CJ86" s="20">
        <f>CA86-2*(CB86-CM86)</f>
        <v>-3.2733333333333325</v>
      </c>
      <c r="CK86" s="20">
        <f>CM86-(CB86-CA86)</f>
        <v>0.50333333333333385</v>
      </c>
      <c r="CL86" s="20">
        <f>2*CM86-CB86</f>
        <v>2.456666666666667</v>
      </c>
      <c r="CM86" s="48">
        <f>(CB86+CA86+BI86)/3</f>
        <v>6.2333333333333334</v>
      </c>
      <c r="CN86" s="20">
        <f>2*CM86-CA86</f>
        <v>8.1866666666666674</v>
      </c>
      <c r="CO86" s="20">
        <f>CM86+(CB86-CA86)</f>
        <v>11.963333333333333</v>
      </c>
      <c r="CP86" s="20">
        <f>CB86+2*(CM86-CA86)</f>
        <v>13.916666666666666</v>
      </c>
      <c r="CQ86" s="2" cm="1">
        <f t="array" aca="1" ref="CQ86" ca="1">MAX(_xlfn._xlws.FILTER(CJ86:CP86,CJ86:CP86&lt;BJ86))</f>
        <v>2.456666666666667</v>
      </c>
      <c r="CR86" s="2" cm="1">
        <f t="array" aca="1" ref="CR86" ca="1">MIN(_xlfn._xlws.FILTER($CJ86:$CP86,$CJ86:$CP86&gt;BJ86))</f>
        <v>6.2333333333333334</v>
      </c>
      <c r="CS86" s="19">
        <f t="shared" ca="1" si="100"/>
        <v>1.5373134328358207</v>
      </c>
      <c r="CT86" s="23">
        <f t="shared" ca="1" si="101"/>
        <v>-0.76865671641791034</v>
      </c>
      <c r="CU86" s="23">
        <f t="shared" ca="1" si="102"/>
        <v>-0.51243781094527352</v>
      </c>
      <c r="CV86" s="23">
        <f t="shared" ca="1" si="103"/>
        <v>-0.30746268656716413</v>
      </c>
      <c r="CW86" s="23">
        <f t="shared" ca="1" si="104"/>
        <v>-0.17081260364842452</v>
      </c>
      <c r="CX86" s="23">
        <f t="shared" ca="1" si="105"/>
        <v>-9.0430201931518864E-2</v>
      </c>
      <c r="CY86" s="23">
        <f t="shared" ca="1" si="106"/>
        <v>-4.6585255540479417E-2</v>
      </c>
      <c r="CZ86" s="23">
        <f t="shared" ca="1" si="107"/>
        <v>-2.3650975889781857E-2</v>
      </c>
      <c r="DA86" s="24">
        <f t="shared" ca="1" si="108"/>
        <v>2.3650975889781857E-2</v>
      </c>
      <c r="DB86" s="24">
        <f t="shared" ca="1" si="109"/>
        <v>4.6585255540479417E-2</v>
      </c>
      <c r="DC86" s="24">
        <f t="shared" ca="1" si="110"/>
        <v>9.0430201931518864E-2</v>
      </c>
      <c r="DD86" s="24">
        <f t="shared" ca="1" si="111"/>
        <v>0.17081260364842452</v>
      </c>
      <c r="DE86" s="24">
        <f t="shared" ca="1" si="112"/>
        <v>0.30746268656716413</v>
      </c>
      <c r="DF86" s="24">
        <f t="shared" ca="1" si="113"/>
        <v>0.51243781094527352</v>
      </c>
      <c r="DG86" s="24">
        <f t="shared" ca="1" si="114"/>
        <v>0.76865671641791034</v>
      </c>
      <c r="DI86" s="19" cm="1">
        <f t="array" aca="1" ref="DI86" ca="1">MAX(_xlfn._xlws.FILTER(CT86:DG86,CT86:DG86&lt;BP86))</f>
        <v>-2.3650975889781857E-2</v>
      </c>
      <c r="DJ86" s="19" cm="1">
        <f t="array" aca="1" ref="DJ86" ca="1">MIN(_xlfn._xlws.FILTER(CT86:DG86,CT86:DG86&gt;BP86))</f>
        <v>2.3650975889781857E-2</v>
      </c>
      <c r="DK86" s="2" cm="1">
        <f t="array" aca="1" ref="DK86" ca="1">_FV(EH86,"Fechamento anterior",TRUE)</f>
        <v>4.41</v>
      </c>
      <c r="DL86" s="36">
        <f ca="1">(BJ86-DM86)/(DN86-DM86)</f>
        <v>0.9314444224291637</v>
      </c>
      <c r="DM86" s="18">
        <f t="shared" ca="1" si="115"/>
        <v>4.3056991963260618</v>
      </c>
      <c r="DN86" s="18">
        <f t="shared" ca="1" si="116"/>
        <v>4.5143008036739385</v>
      </c>
      <c r="DO86" s="9"/>
      <c r="DP86" s="9"/>
      <c r="DQ86" s="94">
        <v>1.7794456576869202E-2</v>
      </c>
      <c r="DR86" s="94">
        <v>2.1745486152265812E-2</v>
      </c>
      <c r="DS86" s="94">
        <v>4.4228287841191052E-2</v>
      </c>
      <c r="DT86" s="94">
        <f t="shared" ca="1" si="92"/>
        <v>4.7301951779563714E-2</v>
      </c>
      <c r="DU86" s="87">
        <f ca="1">(BJ86-CF86)/(CF86-CE86)</f>
        <v>1.1835627543284735</v>
      </c>
      <c r="DV86" s="46"/>
      <c r="DW86" s="43">
        <f>_xlfn.STDEV.P(BF86:BI86)</f>
        <v>6.7592529172978755E-2</v>
      </c>
      <c r="DX86" s="76">
        <f ca="1">BO86-$DT$2</f>
        <v>0.81939999999999991</v>
      </c>
      <c r="DY86" s="76">
        <f ca="1">BO86-BP86*100</f>
        <v>-0.22429999999999994</v>
      </c>
      <c r="DZ86" s="101"/>
      <c r="EA86" s="100">
        <v>0.7522000000000002</v>
      </c>
      <c r="EB86" s="107">
        <v>-2.1441000000000008</v>
      </c>
      <c r="EC86" s="107">
        <v>0.40820000000000012</v>
      </c>
      <c r="ED86" s="98">
        <f t="shared" ca="1" si="93"/>
        <v>1.0436999999999999</v>
      </c>
      <c r="EE86" s="66"/>
      <c r="EF86" s="66"/>
      <c r="EH86" s="2" t="e" vm="86">
        <v>#VALUE!</v>
      </c>
      <c r="EJ86" s="10" cm="1">
        <f t="array" aca="1" ref="EJ86" ca="1">_FV(EH86,"Ações em circulação",TRUE)</f>
        <v>141800000</v>
      </c>
      <c r="EK86" s="21">
        <f>VLOOKUP(BK86,Fundamentus!A:U,5,FALSE)</f>
        <v>0.186</v>
      </c>
      <c r="EL86" s="2">
        <f ca="1">(BJ86*EJ86)/EK86</f>
        <v>3430645161.2903228</v>
      </c>
      <c r="EM86" s="20">
        <v>8068877.4193548383</v>
      </c>
      <c r="EN86" s="20">
        <f t="shared" ca="1" si="94"/>
        <v>8233548.3870967738</v>
      </c>
      <c r="EP86" s="19">
        <f t="shared" ca="1" si="89"/>
        <v>2.0408163265306145E-2</v>
      </c>
      <c r="EQ86" s="40" t="str">
        <f>IF(VLOOKUP(BK86,Fundamentus!A:U,3,FALSE)&lt;15,"Bom",IF(VLOOKUP(BK86,Fundamentus!A:U,3,FALSE)&gt;15,"Ruim","n/a"))</f>
        <v>Ruim</v>
      </c>
      <c r="ER86" s="36" t="str">
        <f>IF(VLOOKUP(BK86,Fundamentus!A:U,4,FALSE)&lt;1,"Baixo",IF(VLOOKUP(BK86,Fundamentus!A:U,4,FALSE)&lt;1.5,"Moderado",IF(VLOOKUP(BK86,Fundamentus!A:U,4,FALSE)&gt;1.5,"Alto","n/a")))</f>
        <v>Baixo</v>
      </c>
      <c r="ES86" s="20" t="str">
        <f>IF(VLOOKUP(BK86,Fundamentus!A:U,8,FALSE)&lt;0,"Risco elevado",IF(VLOOKUP(BK86,Fundamentus!A:U,8,FALSE)&lt;1,"Saudável",IF(VLOOKUP(BK86,Fundamentus!A:U,8,FALSE)&lt;3,"Estável",IF(VLOOKUP(BK86,Fundamentus!A:U,8,FALSE)&gt;3,"Alerta","n/a"))))</f>
        <v>Saudável</v>
      </c>
      <c r="ET86" s="36" t="str">
        <f t="shared" si="95"/>
        <v>Ruim</v>
      </c>
      <c r="EU86" s="20" t="str">
        <f>IF(VLOOKUP(BK86,Fundamentus!A:U,12,FALSE)&lt;2,"Subvalorizada",IF(VLOOKUP(BK86,Fundamentus!A:U,12,FALSE)&lt;6,"Muita barata",IF(VLOOKUP(BK86,Fundamentus!A:U,12,FALSE)&lt;6,"Barata",IF(VLOOKUP(BK86,Fundamentus!A:U,12,FALSE)&lt;8,"Atrativa",IF(VLOOKUP(BK86,Fundamentus!A:U,12,FALSE)&gt;8,"Supervalorizada","n/a")))))</f>
        <v>Muita barata</v>
      </c>
      <c r="EW86" s="20" t="str">
        <f>IF(VLOOKUP(BK86,Fundamentus!A:U,17,FALSE)&lt;0.1,"Fraco retorno",IF(VLOOKUP(BK86,Fundamentus!A:U,17,FALSE)&gt;0.1,"Bom retorno","n/a"))</f>
        <v>Fraco retorno</v>
      </c>
      <c r="EX86" s="20" t="str">
        <f>IF(VLOOKUP(BK86,Fundamentus!A:U,16,FALSE)&lt;0.1,"Ineficiente",IF(VLOOKUP(BK86,Fundamentus!A:U,16,FALSE)&gt;0.1,"Eficiente","n/a"))</f>
        <v>Ineficiente</v>
      </c>
      <c r="EY86" s="41" t="str">
        <f>IF(VLOOKUP(BK86,Fundamentus!A:U,16,FALSE)&lt;0.1,"Oper. Ineficiente",IF(VLOOKUP(BK86,Fundamentus!A:U,16,FALSE)&gt;0.1,"Oper.Eficiente","n/a"))</f>
        <v>Oper. Ineficiente</v>
      </c>
      <c r="EZ86" s="42">
        <f>VLOOKUP(BK86,Fundamentus!A:U,14,FALSE)</f>
        <v>2.3999999999999998E-3</v>
      </c>
      <c r="FA86" s="20" t="str">
        <f>IF(VLOOKUP(BK86,Fundamentus!A:U,21,FALSE)&lt;0,"Negativo",IF(VLOOKUP(BK86,Fundamentus!A:U,21,FALSE)&lt;0.05,"Fraco",IF(VLOOKUP(BK86,Fundamentus!A:U,21,FALSE)&lt;0.1,"Bom",IF(VLOOKUP(BK86,Fundamentus!A:U,21,FALSE)&gt;0.1,"Muito bom","n/a"))))</f>
        <v>Bom</v>
      </c>
      <c r="FC86" s="37" t="str">
        <f>IF(VLOOKUP(BK86,Fundamentus!A:U,15,FALSE)&gt;1,"Bom",IF(VLOOKUP(BK86,Fundamentus!A:U,15,FALSE)&lt;1,"Ruim","n/a"))</f>
        <v>Bom</v>
      </c>
      <c r="FD86" s="20" t="str">
        <f>IF(VLOOKUP(BK86,Fundamentus!A:U,20,FALSE)&lt;0.5,"Baixa",IF(VLOOKUP(BK86,Fundamentus!A:U,20,FALSE)&lt;1,"Moderada",IF(VLOOKUP(BK86,Fundamentus!A:U,20,FALSE)&lt;2,"Alerta",IF(VLOOKUP(BK86,Fundamentus!A:U,20,FALSE)&gt;2,"Alta","n/a"))))</f>
        <v>Moderada</v>
      </c>
      <c r="FE86" s="10"/>
    </row>
    <row r="87" spans="1:161" s="2" customFormat="1" ht="11.25" hidden="1"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8">
        <v>4.8</v>
      </c>
      <c r="BC87" s="62">
        <v>4.67</v>
      </c>
      <c r="BD87" s="62">
        <v>4.33</v>
      </c>
      <c r="BE87" s="62">
        <v>4.3600000000000003</v>
      </c>
      <c r="BF87" s="62">
        <v>4.2</v>
      </c>
      <c r="BG87" s="81">
        <v>4.25</v>
      </c>
      <c r="BH87" s="62">
        <v>4.24</v>
      </c>
      <c r="BI87" s="62">
        <v>3.6</v>
      </c>
      <c r="BJ87" s="62" cm="1">
        <f t="array" aca="1" ref="BJ87" ca="1">_FV(EH87,"Preço")</f>
        <v>3.7</v>
      </c>
      <c r="BK87" s="83" t="s">
        <v>84</v>
      </c>
      <c r="BL87" s="44" cm="1">
        <f t="array" aca="1" ref="BL87" ca="1">_FV(EH87,"Média de volume",TRUE)</f>
        <v>6840</v>
      </c>
      <c r="BM87" s="44">
        <v>11100</v>
      </c>
      <c r="BN87" s="44" cm="1">
        <f t="array" aca="1" ref="BN87" ca="1">_FV(EH87,"Volume")</f>
        <v>6800</v>
      </c>
      <c r="BO87" s="32" cm="1">
        <f t="array" aca="1" ref="BO87" ca="1">_FV(EH87,"Beta")</f>
        <v>1.1811</v>
      </c>
      <c r="BP87" s="86" cm="1">
        <f t="array" aca="1" ref="BP87" ca="1">_FV(EH87,"Variação (%)",TRUE)</f>
        <v>2.7778000000000001E-2</v>
      </c>
      <c r="BQ87" s="48"/>
      <c r="BR87" s="48"/>
      <c r="BT87" s="20" cm="1">
        <f t="array" aca="1" ref="BT87" ca="1">_FV(EH87,"Baixo")</f>
        <v>3.6</v>
      </c>
      <c r="BU87" s="20" cm="1">
        <f t="array" aca="1" ref="BU87" ca="1">_FV(EH87,"Alto")</f>
        <v>3.7</v>
      </c>
      <c r="BV87" s="32"/>
      <c r="BW87" s="73" t="e">
        <f ca="1">SQRT(22.5*(BJ87/VLOOKUP(BK87,Fundamentus!A:U,3,FALSE))*(BJ87/VLOOKUP(BK87,Fundamentus!A:U,4,FALSE)))</f>
        <v>#NUM!</v>
      </c>
      <c r="BY87" s="72">
        <f t="shared" ca="1" si="90"/>
        <v>2.7777777777777801E-2</v>
      </c>
      <c r="BZ87" s="8"/>
      <c r="CA87" s="71">
        <f t="shared" si="98"/>
        <v>0.5</v>
      </c>
      <c r="CB87" s="71">
        <f t="shared" si="91"/>
        <v>5.5</v>
      </c>
      <c r="CC87" s="71">
        <f t="shared" si="99"/>
        <v>2.3819672131147542</v>
      </c>
      <c r="CD87" s="17"/>
      <c r="CE87" s="43">
        <f t="shared" si="96"/>
        <v>3.0731225000056051</v>
      </c>
      <c r="CF87" s="18">
        <f>FORECAST("04/07/2025", BF87:BI87, $BF$5:$BI$5)</f>
        <v>3.6199999999998909</v>
      </c>
      <c r="CG87" s="43">
        <f t="shared" si="97"/>
        <v>4.1668774999941771</v>
      </c>
      <c r="CI87" s="17"/>
      <c r="CJ87" s="20">
        <f>CA87-2*(CB87-CM87)</f>
        <v>-4.1000000000000005</v>
      </c>
      <c r="CK87" s="20">
        <f>CM87-(CB87-CA87)</f>
        <v>-1.8000000000000003</v>
      </c>
      <c r="CL87" s="20">
        <f>2*CM87-CB87</f>
        <v>0.89999999999999947</v>
      </c>
      <c r="CM87" s="48">
        <f>(CB87+CA87+BI87)/3</f>
        <v>3.1999999999999997</v>
      </c>
      <c r="CN87" s="20">
        <f>2*CM87-CA87</f>
        <v>5.8999999999999995</v>
      </c>
      <c r="CO87" s="20">
        <f>CM87+(CB87-CA87)</f>
        <v>8.1999999999999993</v>
      </c>
      <c r="CP87" s="20">
        <f>CB87+2*(CM87-CA87)</f>
        <v>10.899999999999999</v>
      </c>
      <c r="CQ87" s="2" cm="1">
        <f t="array" aca="1" ref="CQ87" ca="1">MAX(_xlfn._xlws.FILTER(CJ87:CP87,CJ87:CP87&lt;BJ87))</f>
        <v>3.1999999999999997</v>
      </c>
      <c r="CR87" s="2" cm="1">
        <f t="array" aca="1" ref="CR87" ca="1">MIN(_xlfn._xlws.FILTER($CJ87:$CP87,$CJ87:$CP87&gt;BJ87))</f>
        <v>5.8999999999999995</v>
      </c>
      <c r="CS87" s="19">
        <f t="shared" ca="1" si="100"/>
        <v>0.84375</v>
      </c>
      <c r="CT87" s="23">
        <f t="shared" ca="1" si="101"/>
        <v>-0.421875</v>
      </c>
      <c r="CU87" s="23">
        <f t="shared" ca="1" si="102"/>
        <v>-0.28125</v>
      </c>
      <c r="CV87" s="23">
        <f t="shared" ca="1" si="103"/>
        <v>-0.16875000000000001</v>
      </c>
      <c r="CW87" s="23">
        <f t="shared" ca="1" si="104"/>
        <v>-9.375E-2</v>
      </c>
      <c r="CX87" s="23">
        <f t="shared" ca="1" si="105"/>
        <v>-4.9632352941176468E-2</v>
      </c>
      <c r="CY87" s="23">
        <f t="shared" ca="1" si="106"/>
        <v>-2.556818181818182E-2</v>
      </c>
      <c r="CZ87" s="23">
        <f t="shared" ca="1" si="107"/>
        <v>-1.2980769230769231E-2</v>
      </c>
      <c r="DA87" s="24">
        <f t="shared" ca="1" si="108"/>
        <v>1.2980769230769231E-2</v>
      </c>
      <c r="DB87" s="24">
        <f t="shared" ca="1" si="109"/>
        <v>2.556818181818182E-2</v>
      </c>
      <c r="DC87" s="24">
        <f t="shared" ca="1" si="110"/>
        <v>4.9632352941176468E-2</v>
      </c>
      <c r="DD87" s="24">
        <f t="shared" ca="1" si="111"/>
        <v>9.375E-2</v>
      </c>
      <c r="DE87" s="24">
        <f t="shared" ca="1" si="112"/>
        <v>0.16875000000000001</v>
      </c>
      <c r="DF87" s="24">
        <f t="shared" ca="1" si="113"/>
        <v>0.28125</v>
      </c>
      <c r="DG87" s="24">
        <f t="shared" ca="1" si="114"/>
        <v>0.421875</v>
      </c>
      <c r="DI87" s="19" cm="1">
        <f t="array" aca="1" ref="DI87" ca="1">MAX(_xlfn._xlws.FILTER(CT87:DG87,CT87:DG87&lt;BP87))</f>
        <v>2.556818181818182E-2</v>
      </c>
      <c r="DJ87" s="19" cm="1">
        <f t="array" aca="1" ref="DJ87" ca="1">MIN(_xlfn._xlws.FILTER(CT87:DG87,CT87:DG87&gt;BP87))</f>
        <v>4.9632352941176468E-2</v>
      </c>
      <c r="DK87" s="2" cm="1">
        <f t="array" aca="1" ref="DK87" ca="1">_FV(EH87,"Fechamento anterior",TRUE)</f>
        <v>3.6</v>
      </c>
      <c r="DL87" s="36">
        <f ca="1">(BJ87-DM87)/(DN87-DM87)</f>
        <v>9.1820987654319688E-2</v>
      </c>
      <c r="DM87" s="18">
        <f t="shared" ca="1" si="115"/>
        <v>3.6920454545454549</v>
      </c>
      <c r="DN87" s="18">
        <f t="shared" ca="1" si="116"/>
        <v>3.7786764705882354</v>
      </c>
      <c r="DO87" s="9"/>
      <c r="DP87" s="9"/>
      <c r="DQ87" s="94">
        <v>3.7695698434412533E-2</v>
      </c>
      <c r="DR87" s="94">
        <v>2.4358974358974363E-2</v>
      </c>
      <c r="DS87" s="94">
        <v>2.6266416510318951E-2</v>
      </c>
      <c r="DT87" s="94">
        <f t="shared" ca="1" si="92"/>
        <v>2.4064171122994648E-2</v>
      </c>
      <c r="DU87" s="87">
        <f ca="1">(BJ87-CF87)/(CF87-CE87)</f>
        <v>0.14628504555580585</v>
      </c>
      <c r="DV87" s="46"/>
      <c r="DW87" s="43">
        <f>_xlfn.STDEV.P(BF87:BI87)</f>
        <v>0.2734387499971429</v>
      </c>
      <c r="DX87" s="76">
        <f ca="1">BO87-$DT$2</f>
        <v>0.18399999999999994</v>
      </c>
      <c r="DY87" s="76">
        <f ca="1">BO87-BP87*100</f>
        <v>-1.5967</v>
      </c>
      <c r="DZ87" s="101"/>
      <c r="EA87" s="100">
        <v>-1.0902000000000003</v>
      </c>
      <c r="EB87" s="107">
        <v>0.77239999999999998</v>
      </c>
      <c r="EC87" s="107">
        <v>-2.2580999999999998</v>
      </c>
      <c r="ED87" s="98">
        <f t="shared" ca="1" si="93"/>
        <v>1.7806999999999999</v>
      </c>
      <c r="EE87" s="66"/>
      <c r="EF87" s="66"/>
      <c r="EH87" s="2" t="e" vm="87">
        <v>#VALUE!</v>
      </c>
      <c r="EJ87" s="10" cm="1">
        <f t="array" aca="1" ref="EJ87" ca="1">_FV(EH87,"Ações em circulação",TRUE)</f>
        <v>11109350</v>
      </c>
      <c r="EK87" s="21">
        <f>VLOOKUP(BK87,Fundamentus!A:U,5,FALSE)</f>
        <v>0.29399999999999998</v>
      </c>
      <c r="EL87" s="2">
        <f ca="1">(BJ87*EJ87)/EK87</f>
        <v>139811547.61904764</v>
      </c>
      <c r="EM87" s="20">
        <v>-16636818.428571433</v>
      </c>
      <c r="EN87" s="20">
        <f t="shared" ca="1" si="94"/>
        <v>-17098952.273809526</v>
      </c>
      <c r="EP87" s="19">
        <f t="shared" ca="1" si="89"/>
        <v>2.7777777777777679E-2</v>
      </c>
      <c r="EQ87" s="40" t="str">
        <f>IF(VLOOKUP(BK87,Fundamentus!A:U,3,FALSE)&lt;15,"Bom",IF(VLOOKUP(BK87,Fundamentus!A:U,3,FALSE)&gt;15,"Ruim","n/a"))</f>
        <v>Bom</v>
      </c>
      <c r="ER87" s="36" t="str">
        <f>IF(VLOOKUP(BK87,Fundamentus!A:U,4,FALSE)&lt;1,"Baixo",IF(VLOOKUP(BK87,Fundamentus!A:U,4,FALSE)&lt;1.5,"Moderado",IF(VLOOKUP(BK87,Fundamentus!A:U,4,FALSE)&gt;1.5,"Alto","n/a")))</f>
        <v>Baixo</v>
      </c>
      <c r="ES87" s="20" t="str">
        <f>IF(VLOOKUP(BK87,Fundamentus!A:U,8,FALSE)&lt;0,"Risco elevado",IF(VLOOKUP(BK87,Fundamentus!A:U,8,FALSE)&lt;1,"Saudável",IF(VLOOKUP(BK87,Fundamentus!A:U,8,FALSE)&lt;3,"Estável",IF(VLOOKUP(BK87,Fundamentus!A:U,8,FALSE)&gt;3,"Alerta","n/a"))))</f>
        <v>Saudável</v>
      </c>
      <c r="ET87" s="36" t="str">
        <f t="shared" si="95"/>
        <v>Ruim</v>
      </c>
      <c r="EU87" s="20" t="str">
        <f>IF(VLOOKUP(BK87,Fundamentus!A:U,12,FALSE)&lt;2,"Subvalorizada",IF(VLOOKUP(BK87,Fundamentus!A:U,12,FALSE)&lt;6,"Muita barata",IF(VLOOKUP(BK87,Fundamentus!A:U,12,FALSE)&lt;6,"Barata",IF(VLOOKUP(BK87,Fundamentus!A:U,12,FALSE)&lt;8,"Atrativa",IF(VLOOKUP(BK87,Fundamentus!A:U,12,FALSE)&gt;8,"Supervalorizada","n/a")))))</f>
        <v>Muita barata</v>
      </c>
      <c r="EW87" s="20" t="str">
        <f>IF(VLOOKUP(BK87,Fundamentus!A:U,17,FALSE)&lt;0.1,"Fraco retorno",IF(VLOOKUP(BK87,Fundamentus!A:U,17,FALSE)&gt;0.1,"Bom retorno","n/a"))</f>
        <v>Fraco retorno</v>
      </c>
      <c r="EX87" s="20" t="str">
        <f>IF(VLOOKUP(BK87,Fundamentus!A:U,16,FALSE)&lt;0.1,"Ineficiente",IF(VLOOKUP(BK87,Fundamentus!A:U,16,FALSE)&gt;0.1,"Eficiente","n/a"))</f>
        <v>Ineficiente</v>
      </c>
      <c r="EY87" s="41" t="str">
        <f>IF(VLOOKUP(BK87,Fundamentus!A:U,16,FALSE)&lt;0.1,"Oper. Ineficiente",IF(VLOOKUP(BK87,Fundamentus!A:U,16,FALSE)&gt;0.1,"Oper.Eficiente","n/a"))</f>
        <v>Oper. Ineficiente</v>
      </c>
      <c r="EZ87" s="42">
        <f>VLOOKUP(BK87,Fundamentus!A:U,14,FALSE)</f>
        <v>-0.12230000000000001</v>
      </c>
      <c r="FA87" s="20" t="str">
        <f>IF(VLOOKUP(BK87,Fundamentus!A:U,21,FALSE)&lt;0,"Negativo",IF(VLOOKUP(BK87,Fundamentus!A:U,21,FALSE)&lt;0.05,"Fraco",IF(VLOOKUP(BK87,Fundamentus!A:U,21,FALSE)&lt;0.1,"Bom",IF(VLOOKUP(BK87,Fundamentus!A:U,21,FALSE)&gt;0.1,"Muito bom","n/a"))))</f>
        <v>Negativo</v>
      </c>
      <c r="FC87" s="37" t="str">
        <f>IF(VLOOKUP(BK87,Fundamentus!A:U,15,FALSE)&gt;1,"Bom",IF(VLOOKUP(BK87,Fundamentus!A:U,15,FALSE)&lt;1,"Ruim","n/a"))</f>
        <v>Bom</v>
      </c>
      <c r="FD87" s="20" t="str">
        <f>IF(VLOOKUP(BK87,Fundamentus!A:U,20,FALSE)&lt;0.5,"Baixa",IF(VLOOKUP(BK87,Fundamentus!A:U,20,FALSE)&lt;1,"Moderada",IF(VLOOKUP(BK87,Fundamentus!A:U,20,FALSE)&lt;2,"Alerta",IF(VLOOKUP(BK87,Fundamentus!A:U,20,FALSE)&gt;2,"Alta","n/a"))))</f>
        <v>Baixa</v>
      </c>
      <c r="FE87" s="10"/>
    </row>
    <row r="88" spans="1:161" s="2" customFormat="1" ht="11.25" hidden="1"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8">
        <v>23.56</v>
      </c>
      <c r="BC88" s="62">
        <v>23.97</v>
      </c>
      <c r="BD88" s="62">
        <v>23.61</v>
      </c>
      <c r="BE88" s="62">
        <v>23.78</v>
      </c>
      <c r="BF88" s="62">
        <v>23.5</v>
      </c>
      <c r="BG88" s="81">
        <v>23.11</v>
      </c>
      <c r="BH88" s="62">
        <v>23.33</v>
      </c>
      <c r="BI88" s="62">
        <v>23.9</v>
      </c>
      <c r="BJ88" s="62" cm="1">
        <f t="array" aca="1" ref="BJ88" ca="1">_FV(EH88,"Preço")</f>
        <v>23.75</v>
      </c>
      <c r="BK88" s="83" t="s">
        <v>85</v>
      </c>
      <c r="BL88" s="44" cm="1">
        <f t="array" aca="1" ref="BL88" ca="1">_FV(EH88,"Média de volume",TRUE)</f>
        <v>532380</v>
      </c>
      <c r="BM88" s="44">
        <v>453600</v>
      </c>
      <c r="BN88" s="44" cm="1">
        <f t="array" aca="1" ref="BN88" ca="1">_FV(EH88,"Volume")</f>
        <v>195700</v>
      </c>
      <c r="BO88" s="32" cm="1">
        <f t="array" aca="1" ref="BO88" ca="1">_FV(EH88,"Beta")</f>
        <v>0.87580000000000002</v>
      </c>
      <c r="BP88" s="86" cm="1">
        <f t="array" aca="1" ref="BP88" ca="1">_FV(EH88,"Variação (%)",TRUE)</f>
        <v>-6.2760000000000003E-3</v>
      </c>
      <c r="BQ88" s="48"/>
      <c r="BR88" s="48"/>
      <c r="BT88" s="20" cm="1">
        <f t="array" aca="1" ref="BT88" ca="1">_FV(EH88,"Baixo")</f>
        <v>23.73</v>
      </c>
      <c r="BU88" s="20" cm="1">
        <f t="array" aca="1" ref="BU88" ca="1">_FV(EH88,"Alto")</f>
        <v>24.28</v>
      </c>
      <c r="BV88" s="32"/>
      <c r="BW88" s="73">
        <f ca="1">SQRT(22.5*(BJ88/VLOOKUP(BK88,Fundamentus!A:U,3,FALSE))*(BJ88/VLOOKUP(BK88,Fundamentus!A:U,4,FALSE)))</f>
        <v>30.436047237545303</v>
      </c>
      <c r="BY88" s="72">
        <f t="shared" ca="1" si="90"/>
        <v>-6.2761506276150037E-3</v>
      </c>
      <c r="BZ88" s="8"/>
      <c r="CA88" s="71">
        <f t="shared" si="98"/>
        <v>19.28</v>
      </c>
      <c r="CB88" s="71">
        <f t="shared" si="91"/>
        <v>35.57</v>
      </c>
      <c r="CC88" s="71">
        <f t="shared" si="99"/>
        <v>25.480081967213106</v>
      </c>
      <c r="CD88" s="17"/>
      <c r="CE88" s="43">
        <f t="shared" si="96"/>
        <v>23.236553805440874</v>
      </c>
      <c r="CF88" s="18">
        <f>FORECAST("04/07/2025", BF88:BI88, $BF$5:$BI$5)</f>
        <v>23.815000000000055</v>
      </c>
      <c r="CG88" s="43">
        <f t="shared" si="97"/>
        <v>24.393446194559235</v>
      </c>
      <c r="CI88" s="17"/>
      <c r="CJ88" s="20">
        <f>CA88-2*(CB88-CM88)</f>
        <v>0.64000000000000057</v>
      </c>
      <c r="CK88" s="20">
        <f>CM88-(CB88-CA88)</f>
        <v>9.9600000000000009</v>
      </c>
      <c r="CL88" s="20">
        <f>2*CM88-CB88</f>
        <v>16.93</v>
      </c>
      <c r="CM88" s="48">
        <f>(CB88+CA88+BI88)/3</f>
        <v>26.25</v>
      </c>
      <c r="CN88" s="20">
        <f>2*CM88-CA88</f>
        <v>33.22</v>
      </c>
      <c r="CO88" s="20">
        <f>CM88+(CB88-CA88)</f>
        <v>42.54</v>
      </c>
      <c r="CP88" s="20">
        <f>CB88+2*(CM88-CA88)</f>
        <v>49.51</v>
      </c>
      <c r="CQ88" s="2" cm="1">
        <f t="array" aca="1" ref="CQ88" ca="1">MAX(_xlfn._xlws.FILTER(CJ88:CP88,CJ88:CP88&lt;BJ88))</f>
        <v>16.93</v>
      </c>
      <c r="CR88" s="2" cm="1">
        <f t="array" aca="1" ref="CR88" ca="1">MIN(_xlfn._xlws.FILTER($CJ88:$CP88,$CJ88:$CP88&gt;BJ88))</f>
        <v>26.25</v>
      </c>
      <c r="CS88" s="19">
        <f t="shared" ca="1" si="100"/>
        <v>0.55050206733608986</v>
      </c>
      <c r="CT88" s="23">
        <f t="shared" ca="1" si="101"/>
        <v>-0.27525103366804493</v>
      </c>
      <c r="CU88" s="23">
        <f t="shared" ca="1" si="102"/>
        <v>-0.18350068911202996</v>
      </c>
      <c r="CV88" s="23">
        <f t="shared" ca="1" si="103"/>
        <v>-0.11010041346721797</v>
      </c>
      <c r="CW88" s="23">
        <f t="shared" ca="1" si="104"/>
        <v>-6.1166896370676654E-2</v>
      </c>
      <c r="CX88" s="23">
        <f t="shared" ca="1" si="105"/>
        <v>-3.2382474549181757E-2</v>
      </c>
      <c r="CY88" s="23">
        <f t="shared" ca="1" si="106"/>
        <v>-1.6681880828366358E-2</v>
      </c>
      <c r="CZ88" s="23">
        <f t="shared" ca="1" si="107"/>
        <v>-8.4692625744013823E-3</v>
      </c>
      <c r="DA88" s="24">
        <f t="shared" ca="1" si="108"/>
        <v>8.4692625744013823E-3</v>
      </c>
      <c r="DB88" s="24">
        <f t="shared" ca="1" si="109"/>
        <v>1.6681880828366358E-2</v>
      </c>
      <c r="DC88" s="24">
        <f t="shared" ca="1" si="110"/>
        <v>3.2382474549181757E-2</v>
      </c>
      <c r="DD88" s="24">
        <f t="shared" ca="1" si="111"/>
        <v>6.1166896370676654E-2</v>
      </c>
      <c r="DE88" s="24">
        <f t="shared" ca="1" si="112"/>
        <v>0.11010041346721797</v>
      </c>
      <c r="DF88" s="24">
        <f t="shared" ca="1" si="113"/>
        <v>0.18350068911202996</v>
      </c>
      <c r="DG88" s="24">
        <f t="shared" ca="1" si="114"/>
        <v>0.27525103366804493</v>
      </c>
      <c r="DI88" s="19" cm="1">
        <f t="array" aca="1" ref="DI88" ca="1">MAX(_xlfn._xlws.FILTER(CT88:DG88,CT88:DG88&lt;BP88))</f>
        <v>-8.4692625744013823E-3</v>
      </c>
      <c r="DJ88" s="19" cm="1">
        <f t="array" aca="1" ref="DJ88" ca="1">MIN(_xlfn._xlws.FILTER(CT88:DG88,CT88:DG88&gt;BP88))</f>
        <v>8.4692625744013823E-3</v>
      </c>
      <c r="DK88" s="2" cm="1">
        <f t="array" aca="1" ref="DK88" ca="1">_FV(EH88,"Fechamento anterior",TRUE)</f>
        <v>23.9</v>
      </c>
      <c r="DL88" s="36">
        <f ca="1">(BJ88-DM88)/(DN88-DM88)</f>
        <v>0.1294747876524191</v>
      </c>
      <c r="DM88" s="18">
        <f t="shared" ca="1" si="115"/>
        <v>23.697584624471805</v>
      </c>
      <c r="DN88" s="18">
        <f t="shared" ca="1" si="116"/>
        <v>24.102415375528192</v>
      </c>
      <c r="DO88" s="9"/>
      <c r="DP88" s="9"/>
      <c r="DQ88" s="94">
        <v>1.1604443105186046E-2</v>
      </c>
      <c r="DR88" s="94">
        <v>2.3934163904446221E-2</v>
      </c>
      <c r="DS88" s="94">
        <v>8.7157981894823953E-3</v>
      </c>
      <c r="DT88" s="94">
        <f t="shared" ca="1" si="92"/>
        <v>1.6938525148802765E-2</v>
      </c>
      <c r="DU88" s="87">
        <f ca="1">(BJ88-CF88)/(CF88-CE88)</f>
        <v>-0.11237000193179493</v>
      </c>
      <c r="DV88" s="46"/>
      <c r="DW88" s="43">
        <f>_xlfn.STDEV.P(BF88:BI88)</f>
        <v>0.28922309727959122</v>
      </c>
      <c r="DX88" s="76">
        <f ca="1">BO88-$DT$2</f>
        <v>-0.12130000000000007</v>
      </c>
      <c r="DY88" s="76">
        <f ca="1">BO88-BP88*100</f>
        <v>1.5034000000000001</v>
      </c>
      <c r="DZ88" s="101"/>
      <c r="EA88" s="100">
        <v>0.94389999999999996</v>
      </c>
      <c r="EB88" s="107">
        <v>0.94280000000000008</v>
      </c>
      <c r="EC88" s="107">
        <v>1.9262999999999999</v>
      </c>
      <c r="ED88" s="98">
        <f t="shared" ca="1" si="93"/>
        <v>-1.6247000000000003</v>
      </c>
      <c r="EE88" s="66"/>
      <c r="EF88" s="66"/>
      <c r="EH88" s="2" t="e" vm="88">
        <v>#VALUE!</v>
      </c>
      <c r="EJ88" s="10" cm="1">
        <f t="array" aca="1" ref="EJ88" ca="1">_FV(EH88,"Ações em circulação",TRUE)</f>
        <v>339000000</v>
      </c>
      <c r="EK88" s="21">
        <f>VLOOKUP(BK88,Fundamentus!A:U,5,FALSE)</f>
        <v>0.80500000000000005</v>
      </c>
      <c r="EL88" s="2">
        <f ca="1">(BJ88*EJ88)/EK88</f>
        <v>10001552795.031055</v>
      </c>
      <c r="EM88" s="20">
        <v>579727900.62111783</v>
      </c>
      <c r="EN88" s="20">
        <f t="shared" ca="1" si="94"/>
        <v>576089440.99378872</v>
      </c>
      <c r="EP88" s="19">
        <f t="shared" ca="1" si="89"/>
        <v>-6.2761506276148848E-3</v>
      </c>
      <c r="EQ88" s="40" t="str">
        <f>IF(VLOOKUP(BK88,Fundamentus!A:U,3,FALSE)&lt;15,"Bom",IF(VLOOKUP(BK88,Fundamentus!A:U,3,FALSE)&gt;15,"Ruim","n/a"))</f>
        <v>Bom</v>
      </c>
      <c r="ER88" s="36" t="str">
        <f>IF(VLOOKUP(BK88,Fundamentus!A:U,4,FALSE)&lt;1,"Baixo",IF(VLOOKUP(BK88,Fundamentus!A:U,4,FALSE)&lt;1.5,"Moderado",IF(VLOOKUP(BK88,Fundamentus!A:U,4,FALSE)&gt;1.5,"Alto","n/a")))</f>
        <v>Baixo</v>
      </c>
      <c r="ES88" s="20" t="str">
        <f>IF(VLOOKUP(BK88,Fundamentus!A:U,8,FALSE)&lt;0,"Risco elevado",IF(VLOOKUP(BK88,Fundamentus!A:U,8,FALSE)&lt;1,"Saudável",IF(VLOOKUP(BK88,Fundamentus!A:U,8,FALSE)&lt;3,"Estável",IF(VLOOKUP(BK88,Fundamentus!A:U,8,FALSE)&gt;3,"Alerta","n/a"))))</f>
        <v>Estável</v>
      </c>
      <c r="ET88" s="36" t="str">
        <f t="shared" si="95"/>
        <v>Ruim</v>
      </c>
      <c r="EU88" s="20" t="str">
        <f>IF(VLOOKUP(BK88,Fundamentus!A:U,12,FALSE)&lt;2,"Subvalorizada",IF(VLOOKUP(BK88,Fundamentus!A:U,12,FALSE)&lt;6,"Muita barata",IF(VLOOKUP(BK88,Fundamentus!A:U,12,FALSE)&lt;6,"Barata",IF(VLOOKUP(BK88,Fundamentus!A:U,12,FALSE)&lt;8,"Atrativa",IF(VLOOKUP(BK88,Fundamentus!A:U,12,FALSE)&gt;8,"Supervalorizada","n/a")))))</f>
        <v>Atrativa</v>
      </c>
      <c r="EW88" s="20" t="str">
        <f>IF(VLOOKUP(BK88,Fundamentus!A:U,17,FALSE)&lt;0.1,"Fraco retorno",IF(VLOOKUP(BK88,Fundamentus!A:U,17,FALSE)&gt;0.1,"Bom retorno","n/a"))</f>
        <v>Fraco retorno</v>
      </c>
      <c r="EX88" s="20" t="str">
        <f>IF(VLOOKUP(BK88,Fundamentus!A:U,16,FALSE)&lt;0.1,"Ineficiente",IF(VLOOKUP(BK88,Fundamentus!A:U,16,FALSE)&gt;0.1,"Eficiente","n/a"))</f>
        <v>Ineficiente</v>
      </c>
      <c r="EY88" s="41" t="str">
        <f>IF(VLOOKUP(BK88,Fundamentus!A:U,16,FALSE)&lt;0.1,"Oper. Ineficiente",IF(VLOOKUP(BK88,Fundamentus!A:U,16,FALSE)&gt;0.1,"Oper.Eficiente","n/a"))</f>
        <v>Oper. Ineficiente</v>
      </c>
      <c r="EZ88" s="42">
        <f>VLOOKUP(BK88,Fundamentus!A:U,14,FALSE)</f>
        <v>5.7599999999999998E-2</v>
      </c>
      <c r="FA88" s="20" t="str">
        <f>IF(VLOOKUP(BK88,Fundamentus!A:U,21,FALSE)&lt;0,"Negativo",IF(VLOOKUP(BK88,Fundamentus!A:U,21,FALSE)&lt;0.05,"Fraco",IF(VLOOKUP(BK88,Fundamentus!A:U,21,FALSE)&lt;0.1,"Bom",IF(VLOOKUP(BK88,Fundamentus!A:U,21,FALSE)&gt;0.1,"Muito bom","n/a"))))</f>
        <v>Bom</v>
      </c>
      <c r="FC88" s="37" t="str">
        <f>IF(VLOOKUP(BK88,Fundamentus!A:U,15,FALSE)&gt;1,"Bom",IF(VLOOKUP(BK88,Fundamentus!A:U,15,FALSE)&lt;1,"Ruim","n/a"))</f>
        <v>Bom</v>
      </c>
      <c r="FD88" s="20" t="str">
        <f>IF(VLOOKUP(BK88,Fundamentus!A:U,20,FALSE)&lt;0.5,"Baixa",IF(VLOOKUP(BK88,Fundamentus!A:U,20,FALSE)&lt;1,"Moderada",IF(VLOOKUP(BK88,Fundamentus!A:U,20,FALSE)&lt;2,"Alerta",IF(VLOOKUP(BK88,Fundamentus!A:U,20,FALSE)&gt;2,"Alta","n/a"))))</f>
        <v>Baixa</v>
      </c>
      <c r="FE88" s="10"/>
    </row>
    <row r="89" spans="1:161" s="2" customFormat="1" ht="11.25" hidden="1"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8">
        <v>15.08</v>
      </c>
      <c r="BC89" s="62">
        <v>15.35</v>
      </c>
      <c r="BD89" s="62">
        <v>15.64</v>
      </c>
      <c r="BE89" s="62">
        <v>16.2</v>
      </c>
      <c r="BF89" s="62">
        <v>15.96</v>
      </c>
      <c r="BG89" s="81">
        <v>16.29</v>
      </c>
      <c r="BH89" s="62">
        <v>16.62</v>
      </c>
      <c r="BI89" s="62">
        <v>16.57</v>
      </c>
      <c r="BJ89" s="62" cm="1">
        <f t="array" aca="1" ref="BJ89" ca="1">_FV(EH89,"Preço")</f>
        <v>16.7</v>
      </c>
      <c r="BK89" s="83" t="s">
        <v>110</v>
      </c>
      <c r="BL89" s="44" cm="1">
        <f t="array" aca="1" ref="BL89" ca="1">_FV(EH89,"Média de volume",TRUE)</f>
        <v>30720810</v>
      </c>
      <c r="BM89" s="44">
        <v>28654600</v>
      </c>
      <c r="BN89" s="44" cm="1">
        <f t="array" aca="1" ref="BN89" ca="1">_FV(EH89,"Volume")</f>
        <v>8854800</v>
      </c>
      <c r="BO89" s="32" cm="1">
        <f t="array" aca="1" ref="BO89" ca="1">_FV(EH89,"Beta")</f>
        <v>1.4864999999999999</v>
      </c>
      <c r="BP89" s="86" cm="1">
        <f t="array" aca="1" ref="BP89" ca="1">_FV(EH89,"Variação (%)",TRUE)</f>
        <v>7.8459999999999988E-3</v>
      </c>
      <c r="BQ89" s="48"/>
      <c r="BR89" s="48"/>
      <c r="BT89" s="20" cm="1">
        <f t="array" aca="1" ref="BT89" ca="1">_FV(EH89,"Baixo")</f>
        <v>16.48</v>
      </c>
      <c r="BU89" s="20" cm="1">
        <f t="array" aca="1" ref="BU89" ca="1">_FV(EH89,"Alto")</f>
        <v>16.78</v>
      </c>
      <c r="BV89" s="32"/>
      <c r="BW89" s="73">
        <f ca="1">SQRT(22.5*(BJ89/VLOOKUP(BK89,Fundamentus!A:U,3,FALSE))*(BJ89/VLOOKUP(BK89,Fundamentus!A:U,4,FALSE)))</f>
        <v>26.768871031865682</v>
      </c>
      <c r="BY89" s="72">
        <f t="shared" ca="1" si="90"/>
        <v>7.8455039227519011E-3</v>
      </c>
      <c r="BZ89" s="8"/>
      <c r="CA89" s="71">
        <f t="shared" si="98"/>
        <v>11.18</v>
      </c>
      <c r="CB89" s="71">
        <f t="shared" si="91"/>
        <v>16.62</v>
      </c>
      <c r="CC89" s="71">
        <f t="shared" si="99"/>
        <v>13.489426229508204</v>
      </c>
      <c r="CD89" s="17"/>
      <c r="CE89" s="43">
        <f t="shared" si="96"/>
        <v>16.374072248307677</v>
      </c>
      <c r="CF89" s="18">
        <f>FORECAST("04/07/2025", BF89:BI89, $BF$5:$BI$5)</f>
        <v>16.899999999999864</v>
      </c>
      <c r="CG89" s="43">
        <f t="shared" si="97"/>
        <v>17.425927751692051</v>
      </c>
      <c r="CI89" s="17"/>
      <c r="CJ89" s="20">
        <f>CA89-2*(CB89-CM89)</f>
        <v>7.52</v>
      </c>
      <c r="CK89" s="20">
        <f>CM89-(CB89-CA89)</f>
        <v>9.35</v>
      </c>
      <c r="CL89" s="20">
        <f>2*CM89-CB89</f>
        <v>12.96</v>
      </c>
      <c r="CM89" s="48">
        <f>(CB89+CA89+BI89)/3</f>
        <v>14.790000000000001</v>
      </c>
      <c r="CN89" s="20">
        <f>2*CM89-CA89</f>
        <v>18.400000000000002</v>
      </c>
      <c r="CO89" s="20">
        <f>CM89+(CB89-CA89)</f>
        <v>20.230000000000004</v>
      </c>
      <c r="CP89" s="20">
        <f>CB89+2*(CM89-CA89)</f>
        <v>23.840000000000003</v>
      </c>
      <c r="CQ89" s="2" cm="1">
        <f t="array" aca="1" ref="CQ89" ca="1">MAX(_xlfn._xlws.FILTER(CJ89:CP89,CJ89:CP89&lt;BJ89))</f>
        <v>14.790000000000001</v>
      </c>
      <c r="CR89" s="2" cm="1">
        <f t="array" aca="1" ref="CR89" ca="1">MIN(_xlfn._xlws.FILTER($CJ89:$CP89,$CJ89:$CP89&gt;BJ89))</f>
        <v>18.400000000000002</v>
      </c>
      <c r="CS89" s="19">
        <f t="shared" ca="1" si="100"/>
        <v>0.2440838404327248</v>
      </c>
      <c r="CT89" s="23">
        <f t="shared" ca="1" si="101"/>
        <v>-0.1220419202163624</v>
      </c>
      <c r="CU89" s="23">
        <f t="shared" ca="1" si="102"/>
        <v>-8.1361280144241599E-2</v>
      </c>
      <c r="CV89" s="23">
        <f t="shared" ca="1" si="103"/>
        <v>-4.8816768086544962E-2</v>
      </c>
      <c r="CW89" s="23">
        <f t="shared" ca="1" si="104"/>
        <v>-2.7120426714747198E-2</v>
      </c>
      <c r="CX89" s="23">
        <f t="shared" ca="1" si="105"/>
        <v>-1.435787296663087E-2</v>
      </c>
      <c r="CY89" s="23">
        <f t="shared" ca="1" si="106"/>
        <v>-7.3964800131128723E-3</v>
      </c>
      <c r="CZ89" s="23">
        <f t="shared" ca="1" si="107"/>
        <v>-3.7551360066573045E-3</v>
      </c>
      <c r="DA89" s="24">
        <f t="shared" ca="1" si="108"/>
        <v>3.7551360066573045E-3</v>
      </c>
      <c r="DB89" s="24">
        <f t="shared" ca="1" si="109"/>
        <v>7.3964800131128723E-3</v>
      </c>
      <c r="DC89" s="24">
        <f t="shared" ca="1" si="110"/>
        <v>1.435787296663087E-2</v>
      </c>
      <c r="DD89" s="24">
        <f t="shared" ca="1" si="111"/>
        <v>2.7120426714747198E-2</v>
      </c>
      <c r="DE89" s="24">
        <f t="shared" ca="1" si="112"/>
        <v>4.8816768086544962E-2</v>
      </c>
      <c r="DF89" s="24">
        <f t="shared" ca="1" si="113"/>
        <v>8.1361280144241599E-2</v>
      </c>
      <c r="DG89" s="24">
        <f t="shared" ca="1" si="114"/>
        <v>0.1220419202163624</v>
      </c>
      <c r="DI89" s="19" cm="1">
        <f t="array" aca="1" ref="DI89" ca="1">MAX(_xlfn._xlws.FILTER(CT89:DG89,CT89:DG89&lt;BP89))</f>
        <v>7.3964800131128723E-3</v>
      </c>
      <c r="DJ89" s="19" cm="1">
        <f t="array" aca="1" ref="DJ89" ca="1">MIN(_xlfn._xlws.FILTER(CT89:DG89,CT89:DG89&gt;BP89))</f>
        <v>1.435787296663087E-2</v>
      </c>
      <c r="DK89" s="2" cm="1">
        <f t="array" aca="1" ref="DK89" ca="1">_FV(EH89,"Fechamento anterior",TRUE)</f>
        <v>16.57</v>
      </c>
      <c r="DL89" s="36">
        <f ca="1">(BJ89-DM89)/(DN89-DM89)</f>
        <v>6.4502020305005764E-2</v>
      </c>
      <c r="DM89" s="18">
        <f t="shared" ca="1" si="115"/>
        <v>16.692559673817282</v>
      </c>
      <c r="DN89" s="18">
        <f t="shared" ca="1" si="116"/>
        <v>16.807909955057074</v>
      </c>
      <c r="DO89" s="9"/>
      <c r="DP89" s="9"/>
      <c r="DQ89" s="95">
        <v>5.2800340915587027E-3</v>
      </c>
      <c r="DR89" s="95">
        <v>5.6963444718546767E-3</v>
      </c>
      <c r="DS89" s="95">
        <v>6.6608661081184999E-3</v>
      </c>
      <c r="DT89" s="95">
        <f t="shared" ca="1" si="92"/>
        <v>6.9613929535179975E-3</v>
      </c>
      <c r="DU89" s="87">
        <f ca="1">(BJ89-CF89)/(CF89-CE89)</f>
        <v>-0.38028036998686376</v>
      </c>
      <c r="DV89" s="46"/>
      <c r="DW89" s="43">
        <f>_xlfn.STDEV.P(BF89:BI89)</f>
        <v>0.26296387584609415</v>
      </c>
      <c r="DX89" s="76">
        <f ca="1">BO89-$DT$2</f>
        <v>0.48939999999999984</v>
      </c>
      <c r="DY89" s="76">
        <f ca="1">BO89-BP89*100</f>
        <v>0.70190000000000008</v>
      </c>
      <c r="DZ89" s="101"/>
      <c r="EA89" s="100">
        <v>1.8010999999999999</v>
      </c>
      <c r="EB89" s="107">
        <v>-0.35670000000000002</v>
      </c>
      <c r="EC89" s="107">
        <v>0.30170000000000008</v>
      </c>
      <c r="ED89" s="98">
        <f t="shared" ca="1" si="93"/>
        <v>-0.21250000000000024</v>
      </c>
      <c r="EE89" s="66"/>
      <c r="EF89" s="66"/>
      <c r="EH89" s="2" t="e" vm="89">
        <v>#VALUE!</v>
      </c>
      <c r="EJ89" s="10" cm="1">
        <f t="array" aca="1" ref="EJ89" ca="1">_FV(EH89,"Ações em circulação",TRUE)</f>
        <v>10592010000</v>
      </c>
      <c r="EK89" s="21">
        <f>VLOOKUP(BK89,Fundamentus!A:U,5,FALSE)</f>
        <v>0</v>
      </c>
      <c r="EL89" s="2" t="e">
        <f ca="1">(BJ89*EJ89)/EK89</f>
        <v>#DIV/0!</v>
      </c>
      <c r="EM89" s="20" t="e">
        <v>#DIV/0!</v>
      </c>
      <c r="EN89" s="20" t="e">
        <f t="shared" ca="1" si="94"/>
        <v>#DIV/0!</v>
      </c>
      <c r="EP89" s="19" t="e">
        <f t="shared" ca="1" si="89"/>
        <v>#DIV/0!</v>
      </c>
      <c r="EQ89" s="40" t="str">
        <f>IF(VLOOKUP(BK89,Fundamentus!A:U,3,FALSE)&lt;15,"Bom",IF(VLOOKUP(BK89,Fundamentus!A:U,3,FALSE)&gt;15,"Ruim","n/a"))</f>
        <v>Bom</v>
      </c>
      <c r="ER89" s="36" t="str">
        <f>IF(VLOOKUP(BK89,Fundamentus!A:U,4,FALSE)&lt;1,"Baixo",IF(VLOOKUP(BK89,Fundamentus!A:U,4,FALSE)&lt;1.5,"Moderado",IF(VLOOKUP(BK89,Fundamentus!A:U,4,FALSE)&gt;1.5,"Alto","n/a")))</f>
        <v>Moderado</v>
      </c>
      <c r="ES89" s="20" t="str">
        <f>IF(VLOOKUP(BK89,Fundamentus!A:U,8,FALSE)&lt;0,"Risco elevado",IF(VLOOKUP(BK89,Fundamentus!A:U,8,FALSE)&lt;1,"Saudável",IF(VLOOKUP(BK89,Fundamentus!A:U,8,FALSE)&lt;3,"Estável",IF(VLOOKUP(BK89,Fundamentus!A:U,8,FALSE)&gt;3,"Alerta","n/a"))))</f>
        <v>Saudável</v>
      </c>
      <c r="ET89" s="36" t="str">
        <f t="shared" si="95"/>
        <v>Ruim</v>
      </c>
      <c r="EU89" s="20" t="str">
        <f>IF(VLOOKUP(BK89,Fundamentus!A:U,12,FALSE)&lt;2,"Subvalorizada",IF(VLOOKUP(BK89,Fundamentus!A:U,12,FALSE)&lt;6,"Muita barata",IF(VLOOKUP(BK89,Fundamentus!A:U,12,FALSE)&lt;6,"Barata",IF(VLOOKUP(BK89,Fundamentus!A:U,12,FALSE)&lt;8,"Atrativa",IF(VLOOKUP(BK89,Fundamentus!A:U,12,FALSE)&gt;8,"Supervalorizada","n/a")))))</f>
        <v>Subvalorizada</v>
      </c>
      <c r="EW89" s="20" t="str">
        <f>IF(VLOOKUP(BK89,Fundamentus!A:U,17,FALSE)&lt;0.1,"Fraco retorno",IF(VLOOKUP(BK89,Fundamentus!A:U,17,FALSE)&gt;0.1,"Bom retorno","n/a"))</f>
        <v>Bom retorno</v>
      </c>
      <c r="EX89" s="20" t="str">
        <f>IF(VLOOKUP(BK89,Fundamentus!A:U,16,FALSE)&lt;0.1,"Ineficiente",IF(VLOOKUP(BK89,Fundamentus!A:U,16,FALSE)&gt;0.1,"Eficiente","n/a"))</f>
        <v>Ineficiente</v>
      </c>
      <c r="EY89" s="41" t="str">
        <f>IF(VLOOKUP(BK89,Fundamentus!A:U,16,FALSE)&lt;0.1,"Oper. Ineficiente",IF(VLOOKUP(BK89,Fundamentus!A:U,16,FALSE)&gt;0.1,"Oper.Eficiente","n/a"))</f>
        <v>Oper. Ineficiente</v>
      </c>
      <c r="EZ89" s="42">
        <f>VLOOKUP(BK89,Fundamentus!A:U,14,FALSE)</f>
        <v>0</v>
      </c>
      <c r="FA89" s="20" t="str">
        <f>IF(VLOOKUP(BK89,Fundamentus!A:U,21,FALSE)&lt;0,"Negativo",IF(VLOOKUP(BK89,Fundamentus!A:U,21,FALSE)&lt;0.05,"Fraco",IF(VLOOKUP(BK89,Fundamentus!A:U,21,FALSE)&lt;0.1,"Bom",IF(VLOOKUP(BK89,Fundamentus!A:U,21,FALSE)&gt;0.1,"Muito bom","n/a"))))</f>
        <v>Negativo</v>
      </c>
      <c r="FC89" s="37" t="str">
        <f>IF(VLOOKUP(BK89,Fundamentus!A:U,15,FALSE)&gt;1,"Bom",IF(VLOOKUP(BK89,Fundamentus!A:U,15,FALSE)&lt;1,"Ruim","n/a"))</f>
        <v>Ruim</v>
      </c>
      <c r="FD89" s="20" t="str">
        <f>IF(VLOOKUP(BK89,Fundamentus!A:U,20,FALSE)&lt;0.5,"Baixa",IF(VLOOKUP(BK89,Fundamentus!A:U,20,FALSE)&lt;1,"Moderada",IF(VLOOKUP(BK89,Fundamentus!A:U,20,FALSE)&lt;2,"Alerta",IF(VLOOKUP(BK89,Fundamentus!A:U,20,FALSE)&gt;2,"Alta","n/a"))))</f>
        <v>Baixa</v>
      </c>
      <c r="FE89" s="10">
        <v>2</v>
      </c>
    </row>
    <row r="90" spans="1:161"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8">
        <v>44.15</v>
      </c>
      <c r="BC90" s="62">
        <v>47.59</v>
      </c>
      <c r="BD90" s="62">
        <v>49.5</v>
      </c>
      <c r="BE90" s="62">
        <v>52.07</v>
      </c>
      <c r="BF90" s="62">
        <v>52.51</v>
      </c>
      <c r="BG90" s="81">
        <v>52.99</v>
      </c>
      <c r="BH90" s="62">
        <v>53.5</v>
      </c>
      <c r="BI90" s="62">
        <v>54.18</v>
      </c>
      <c r="BJ90" s="62" cm="1">
        <f t="array" aca="1" ref="BJ90" ca="1">_FV(EH90,"Preço")</f>
        <v>54.45</v>
      </c>
      <c r="BK90" s="80" t="s">
        <v>16</v>
      </c>
      <c r="BL90" s="44" cm="1">
        <f t="array" aca="1" ref="BL90" ca="1">_FV(EH90,"Média de volume",TRUE)</f>
        <v>1704280</v>
      </c>
      <c r="BM90" s="44">
        <v>2484600</v>
      </c>
      <c r="BN90" s="44" cm="1">
        <f t="array" aca="1" ref="BN90" ca="1">_FV(EH90,"Volume")</f>
        <v>462800</v>
      </c>
      <c r="BO90" s="32" cm="1">
        <f t="array" aca="1" ref="BO90" ca="1">_FV(EH90,"Beta")</f>
        <v>0.82440000000000002</v>
      </c>
      <c r="BP90" s="86" cm="1">
        <f t="array" aca="1" ref="BP90" ca="1">_FV(EH90,"Variação (%)",TRUE)</f>
        <v>4.9830000000000004E-3</v>
      </c>
      <c r="BQ90" s="71"/>
      <c r="BR90" s="71"/>
      <c r="BT90" s="20" cm="1">
        <f t="array" aca="1" ref="BT90" ca="1">_FV(EH90,"Baixo")</f>
        <v>53.69</v>
      </c>
      <c r="BU90" s="20" cm="1">
        <f t="array" aca="1" ref="BU90" ca="1">_FV(EH90,"Alto")</f>
        <v>54.66</v>
      </c>
      <c r="BV90" s="32"/>
      <c r="BW90" s="73">
        <f ca="1">SQRT(22.5*(BJ90/VLOOKUP(BK90,Fundamentus!A:U,3,FALSE))*(BJ90/VLOOKUP(BK90,Fundamentus!A:U,4,FALSE)))</f>
        <v>47.205147240137293</v>
      </c>
      <c r="BY90" s="72">
        <f t="shared" ca="1" si="90"/>
        <v>4.9833887043189947E-3</v>
      </c>
      <c r="BZ90" s="8"/>
      <c r="CA90" s="71">
        <f t="shared" si="98"/>
        <v>28.77</v>
      </c>
      <c r="CB90" s="71">
        <f t="shared" si="91"/>
        <v>54.18</v>
      </c>
      <c r="CC90" s="71">
        <f t="shared" si="99"/>
        <v>37.76065573770493</v>
      </c>
      <c r="CD90" s="17"/>
      <c r="CE90" s="43">
        <f t="shared" si="96"/>
        <v>53.436250630676426</v>
      </c>
      <c r="CF90" s="18">
        <f>FORECAST("04/07/2025", BF90:BI90, $BF$5:$BI$5)</f>
        <v>54.675000000000182</v>
      </c>
      <c r="CG90" s="43">
        <f t="shared" si="97"/>
        <v>55.913749369323938</v>
      </c>
      <c r="CI90" s="17"/>
      <c r="CJ90" s="20">
        <f>CA90-2*(CB90-CM90)</f>
        <v>11.830000000000002</v>
      </c>
      <c r="CK90" s="20">
        <f>CM90-(CB90-CA90)</f>
        <v>20.3</v>
      </c>
      <c r="CL90" s="20">
        <f>2*CM90-CB90</f>
        <v>37.24</v>
      </c>
      <c r="CM90" s="48">
        <f>(CB90+CA90+BI90)/3</f>
        <v>45.71</v>
      </c>
      <c r="CN90" s="20">
        <f>2*CM90-CA90</f>
        <v>62.650000000000006</v>
      </c>
      <c r="CO90" s="20">
        <f>CM90+(CB90-CA90)</f>
        <v>71.12</v>
      </c>
      <c r="CP90" s="20">
        <f>CB90+2*(CM90-CA90)</f>
        <v>88.06</v>
      </c>
      <c r="CQ90" s="2" cm="1">
        <f t="array" aca="1" ref="CQ90" ca="1">MAX(_xlfn._xlws.FILTER(CJ90:CP90,CJ90:CP90&lt;BJ90))</f>
        <v>45.71</v>
      </c>
      <c r="CR90" s="2" cm="1">
        <f t="array" aca="1" ref="CR90" ca="1">MIN(_xlfn._xlws.FILTER($CJ90:$CP90,$CJ90:$CP90&gt;BJ90))</f>
        <v>62.650000000000006</v>
      </c>
      <c r="CS90" s="19">
        <f t="shared" ca="1" si="100"/>
        <v>0.37059724349157741</v>
      </c>
      <c r="CT90" s="23">
        <f t="shared" ca="1" si="101"/>
        <v>-0.18529862174578871</v>
      </c>
      <c r="CU90" s="23">
        <f t="shared" ca="1" si="102"/>
        <v>-0.12353241449719247</v>
      </c>
      <c r="CV90" s="23">
        <f t="shared" ca="1" si="103"/>
        <v>-7.4119448698315479E-2</v>
      </c>
      <c r="CW90" s="23">
        <f t="shared" ca="1" si="104"/>
        <v>-4.1177471499064158E-2</v>
      </c>
      <c r="CX90" s="23">
        <f t="shared" ca="1" si="105"/>
        <v>-2.1799837852445731E-2</v>
      </c>
      <c r="CY90" s="23">
        <f t="shared" ca="1" si="106"/>
        <v>-1.1230219499744769E-2</v>
      </c>
      <c r="CZ90" s="23">
        <f t="shared" ca="1" si="107"/>
        <v>-5.7014960537165758E-3</v>
      </c>
      <c r="DA90" s="24">
        <f t="shared" ca="1" si="108"/>
        <v>5.7014960537165758E-3</v>
      </c>
      <c r="DB90" s="24">
        <f t="shared" ca="1" si="109"/>
        <v>1.1230219499744769E-2</v>
      </c>
      <c r="DC90" s="24">
        <f t="shared" ca="1" si="110"/>
        <v>2.1799837852445731E-2</v>
      </c>
      <c r="DD90" s="24">
        <f t="shared" ca="1" si="111"/>
        <v>4.1177471499064158E-2</v>
      </c>
      <c r="DE90" s="24">
        <f t="shared" ca="1" si="112"/>
        <v>7.4119448698315479E-2</v>
      </c>
      <c r="DF90" s="24">
        <f t="shared" ca="1" si="113"/>
        <v>0.12353241449719247</v>
      </c>
      <c r="DG90" s="24">
        <f t="shared" ca="1" si="114"/>
        <v>0.18529862174578871</v>
      </c>
      <c r="DI90" s="19" cm="1">
        <f t="array" aca="1" ref="DI90" ca="1">MAX(_xlfn._xlws.FILTER(CT90:DG90,CT90:DG90&lt;BP90))</f>
        <v>-5.7014960537165758E-3</v>
      </c>
      <c r="DJ90" s="19" cm="1">
        <f t="array" aca="1" ref="DJ90" ca="1">MIN(_xlfn._xlws.FILTER(CT90:DG90,CT90:DG90&gt;BP90))</f>
        <v>5.7014960537165758E-3</v>
      </c>
      <c r="DK90" s="2" cm="1">
        <f t="array" aca="1" ref="DK90" ca="1">_FV(EH90,"Fechamento anterior",TRUE)</f>
        <v>54.18</v>
      </c>
      <c r="DL90" s="36">
        <f ca="1">(BJ90-DM90)/(DN90-DM90)</f>
        <v>0.93702465610499952</v>
      </c>
      <c r="DM90" s="18">
        <f t="shared" ca="1" si="115"/>
        <v>53.871092943809636</v>
      </c>
      <c r="DN90" s="18">
        <f t="shared" ca="1" si="116"/>
        <v>54.488907056190364</v>
      </c>
      <c r="DO90" s="9"/>
      <c r="DP90" s="9"/>
      <c r="DQ90" s="103">
        <v>9.5799354862092668E-3</v>
      </c>
      <c r="DR90" s="103">
        <v>1.0467369991354416E-2</v>
      </c>
      <c r="DS90" s="103">
        <v>5.3628795446977271E-3</v>
      </c>
      <c r="DT90" s="103">
        <f t="shared" ca="1" si="92"/>
        <v>1.1402992107433152E-2</v>
      </c>
      <c r="DU90" s="87">
        <f ca="1">(BJ90-CF90)/(CF90-CE90)</f>
        <v>-0.18163480488632541</v>
      </c>
      <c r="DV90" s="46"/>
      <c r="DW90" s="43">
        <f>_xlfn.STDEV.P(BF90:BI90)</f>
        <v>0.61937468466187762</v>
      </c>
      <c r="DX90" s="76">
        <f ca="1">BO90-$DT$2</f>
        <v>-0.17270000000000008</v>
      </c>
      <c r="DY90" s="76">
        <f ca="1">BO90-BP90*100</f>
        <v>0.3261</v>
      </c>
      <c r="DZ90" s="101"/>
      <c r="EA90" s="61">
        <v>0.70850000000000013</v>
      </c>
      <c r="EB90" s="61">
        <v>0.48139999999999983</v>
      </c>
      <c r="EC90" s="61">
        <v>0.29180000000000006</v>
      </c>
      <c r="ED90" s="98">
        <f t="shared" ca="1" si="93"/>
        <v>-0.49880000000000008</v>
      </c>
      <c r="EE90" s="66"/>
      <c r="EF90" s="66"/>
      <c r="EH90" s="2" t="e" vm="90">
        <v>#VALUE!</v>
      </c>
      <c r="EJ90" s="10" cm="1">
        <f t="array" aca="1" ref="EJ90" ca="1">_FV(EH90,"Ações em circulação",TRUE)</f>
        <v>646586100</v>
      </c>
      <c r="EK90" s="21">
        <f>VLOOKUP(BK90,Fundamentus!A:U,5,FALSE)</f>
        <v>0.94399999999999995</v>
      </c>
      <c r="EL90" s="2">
        <f ca="1">(BJ90*EJ90)/EK90</f>
        <v>37295141043.432205</v>
      </c>
      <c r="EM90" s="20">
        <v>2939128351.611865</v>
      </c>
      <c r="EN90" s="20">
        <f t="shared" ca="1" si="94"/>
        <v>2953775170.6398311</v>
      </c>
      <c r="EP90" s="19">
        <f t="shared" ca="1" si="89"/>
        <v>4.983388704318914E-3</v>
      </c>
      <c r="EQ90" s="40" t="str">
        <f>IF(VLOOKUP(BK90,Fundamentus!A:U,3,FALSE)&lt;15,"Bom",IF(VLOOKUP(BK90,Fundamentus!A:U,3,FALSE)&gt;15,"Ruim","n/a"))</f>
        <v>Bom</v>
      </c>
      <c r="ER90" s="36" t="str">
        <f>IF(VLOOKUP(BK90,Fundamentus!A:U,4,FALSE)&lt;1,"Baixo",IF(VLOOKUP(BK90,Fundamentus!A:U,4,FALSE)&lt;1.5,"Moderado",IF(VLOOKUP(BK90,Fundamentus!A:U,4,FALSE)&gt;1.5,"Alto","n/a")))</f>
        <v>Alto</v>
      </c>
      <c r="ES90" s="20" t="str">
        <f>IF(VLOOKUP(BK90,Fundamentus!A:U,8,FALSE)&lt;0,"Risco elevado",IF(VLOOKUP(BK90,Fundamentus!A:U,8,FALSE)&lt;1,"Saudável",IF(VLOOKUP(BK90,Fundamentus!A:U,8,FALSE)&lt;3,"Estável",IF(VLOOKUP(BK90,Fundamentus!A:U,8,FALSE)&gt;3,"Alerta","n/a"))))</f>
        <v>Alerta</v>
      </c>
      <c r="ET90" s="36" t="str">
        <f t="shared" si="95"/>
        <v>Ruim</v>
      </c>
      <c r="EU90" s="20" t="str">
        <f>IF(VLOOKUP(BK90,Fundamentus!A:U,12,FALSE)&lt;2,"Subvalorizada",IF(VLOOKUP(BK90,Fundamentus!A:U,12,FALSE)&lt;6,"Muita barata",IF(VLOOKUP(BK90,Fundamentus!A:U,12,FALSE)&lt;6,"Barata",IF(VLOOKUP(BK90,Fundamentus!A:U,12,FALSE)&lt;8,"Atrativa",IF(VLOOKUP(BK90,Fundamentus!A:U,12,FALSE)&gt;8,"Supervalorizada","n/a")))))</f>
        <v>Subvalorizada</v>
      </c>
      <c r="EW90" s="20" t="str">
        <f>IF(VLOOKUP(BK90,Fundamentus!A:U,17,FALSE)&lt;0.1,"Fraco retorno",IF(VLOOKUP(BK90,Fundamentus!A:U,17,FALSE)&gt;0.1,"Bom retorno","n/a"))</f>
        <v>Bom retorno</v>
      </c>
      <c r="EX90" s="20" t="str">
        <f>IF(VLOOKUP(BK90,Fundamentus!A:U,16,FALSE)&lt;0.1,"Ineficiente",IF(VLOOKUP(BK90,Fundamentus!A:U,16,FALSE)&gt;0.1,"Eficiente","n/a"))</f>
        <v>Eficiente</v>
      </c>
      <c r="EY90" s="41" t="str">
        <f>IF(VLOOKUP(BK90,Fundamentus!A:U,16,FALSE)&lt;0.1,"Oper. Ineficiente",IF(VLOOKUP(BK90,Fundamentus!A:U,16,FALSE)&gt;0.1,"Oper.Eficiente","n/a"))</f>
        <v>Oper.Eficiente</v>
      </c>
      <c r="EZ90" s="42">
        <f>VLOOKUP(BK90,Fundamentus!A:U,14,FALSE)</f>
        <v>7.9200000000000007E-2</v>
      </c>
      <c r="FA90" s="20" t="str">
        <f>IF(VLOOKUP(BK90,Fundamentus!A:U,21,FALSE)&lt;0,"Negativo",IF(VLOOKUP(BK90,Fundamentus!A:U,21,FALSE)&lt;0.05,"Fraco",IF(VLOOKUP(BK90,Fundamentus!A:U,21,FALSE)&lt;0.1,"Bom",IF(VLOOKUP(BK90,Fundamentus!A:U,21,FALSE)&gt;0.1,"Muito bom","n/a"))))</f>
        <v>Muito bom</v>
      </c>
      <c r="FC90" s="37" t="str">
        <f>IF(VLOOKUP(BK90,Fundamentus!A:U,15,FALSE)&gt;1,"Bom",IF(VLOOKUP(BK90,Fundamentus!A:U,15,FALSE)&lt;1,"Ruim","n/a"))</f>
        <v>Bom</v>
      </c>
      <c r="FD90" s="20" t="str">
        <f>IF(VLOOKUP(BK90,Fundamentus!A:U,20,FALSE)&lt;0.5,"Baixa",IF(VLOOKUP(BK90,Fundamentus!A:U,20,FALSE)&lt;1,"Moderada",IF(VLOOKUP(BK90,Fundamentus!A:U,20,FALSE)&lt;2,"Alerta",IF(VLOOKUP(BK90,Fundamentus!A:U,20,FALSE)&gt;2,"Alta","n/a"))))</f>
        <v>Baixa</v>
      </c>
      <c r="FE90" s="10">
        <v>4</v>
      </c>
    </row>
    <row r="91" spans="1:161" s="2" customFormat="1" ht="11.25" hidden="1"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8">
        <v>0.83</v>
      </c>
      <c r="BC91" s="62">
        <v>0.86</v>
      </c>
      <c r="BD91" s="62">
        <v>0.84</v>
      </c>
      <c r="BE91" s="62">
        <v>0.84</v>
      </c>
      <c r="BF91" s="62">
        <v>1.26</v>
      </c>
      <c r="BG91" s="81">
        <v>1.1200000000000001</v>
      </c>
      <c r="BH91" s="62">
        <v>1.1100000000000001</v>
      </c>
      <c r="BI91" s="62">
        <v>0.88</v>
      </c>
      <c r="BJ91" s="62" cm="1">
        <f t="array" aca="1" ref="BJ91" ca="1">_FV(EH91,"Preço")</f>
        <v>0.86</v>
      </c>
      <c r="BK91" s="83" t="s">
        <v>88</v>
      </c>
      <c r="BL91" s="44" cm="1">
        <f t="array" aca="1" ref="BL91" ca="1">_FV(EH91,"Média de volume",TRUE)</f>
        <v>55880</v>
      </c>
      <c r="BM91" s="44">
        <v>166300</v>
      </c>
      <c r="BN91" s="44" cm="1">
        <f t="array" aca="1" ref="BN91" ca="1">_FV(EH91,"Volume")</f>
        <v>69000</v>
      </c>
      <c r="BO91" s="32" cm="1">
        <f t="array" aca="1" ref="BO91" ca="1">_FV(EH91,"Beta")</f>
        <v>1.3413999999999999</v>
      </c>
      <c r="BP91" s="86" cm="1">
        <f t="array" aca="1" ref="BP91" ca="1">_FV(EH91,"Variação (%)",TRUE)</f>
        <v>-2.2727000000000001E-2</v>
      </c>
      <c r="BQ91" s="48"/>
      <c r="BR91" s="48"/>
      <c r="BT91" s="20" cm="1">
        <f t="array" aca="1" ref="BT91" ca="1">_FV(EH91,"Baixo")</f>
        <v>0.86</v>
      </c>
      <c r="BU91" s="20" cm="1">
        <f t="array" aca="1" ref="BU91" ca="1">_FV(EH91,"Alto")</f>
        <v>0.91</v>
      </c>
      <c r="BV91" s="32"/>
      <c r="BW91" s="73" t="e">
        <f ca="1">SQRT(22.5*(BJ91/VLOOKUP(BK91,Fundamentus!A:U,3,FALSE))*(BJ91/VLOOKUP(BK91,Fundamentus!A:U,4,FALSE)))</f>
        <v>#NUM!</v>
      </c>
      <c r="BY91" s="72">
        <f t="shared" ca="1" si="90"/>
        <v>-2.2727272727272749E-2</v>
      </c>
      <c r="BZ91" s="8"/>
      <c r="CA91" s="71">
        <f t="shared" si="98"/>
        <v>0.82</v>
      </c>
      <c r="CB91" s="71">
        <f t="shared" si="91"/>
        <v>1.26</v>
      </c>
      <c r="CC91" s="71">
        <f t="shared" si="99"/>
        <v>0.96393442622950798</v>
      </c>
      <c r="CD91" s="17"/>
      <c r="CE91" s="43">
        <f t="shared" si="96"/>
        <v>0.53246559850183062</v>
      </c>
      <c r="CF91" s="18">
        <f>FORECAST("04/07/2025", BF91:BI91, $BF$5:$BI$5)</f>
        <v>0.80500000000006366</v>
      </c>
      <c r="CG91" s="43">
        <f t="shared" si="97"/>
        <v>1.0775344014982968</v>
      </c>
      <c r="CI91" s="17"/>
      <c r="CJ91" s="20">
        <f>CA91-2*(CB91-CM91)</f>
        <v>0.27333333333333332</v>
      </c>
      <c r="CK91" s="20">
        <f>CM91-(CB91-CA91)</f>
        <v>0.54666666666666663</v>
      </c>
      <c r="CL91" s="20">
        <f>2*CM91-CB91</f>
        <v>0.71333333333333337</v>
      </c>
      <c r="CM91" s="48">
        <f>(CB91+CA91+BI91)/3</f>
        <v>0.98666666666666669</v>
      </c>
      <c r="CN91" s="20">
        <f>2*CM91-CA91</f>
        <v>1.1533333333333333</v>
      </c>
      <c r="CO91" s="20">
        <f>CM91+(CB91-CA91)</f>
        <v>1.4266666666666667</v>
      </c>
      <c r="CP91" s="20">
        <f>CB91+2*(CM91-CA91)</f>
        <v>1.5933333333333335</v>
      </c>
      <c r="CQ91" s="2" cm="1">
        <f t="array" aca="1" ref="CQ91" ca="1">MAX(_xlfn._xlws.FILTER(CJ91:CP91,CJ91:CP91&lt;BJ91))</f>
        <v>0.71333333333333337</v>
      </c>
      <c r="CR91" s="2" cm="1">
        <f t="array" aca="1" ref="CR91" ca="1">MIN(_xlfn._xlws.FILTER($CJ91:$CP91,$CJ91:$CP91&gt;BJ91))</f>
        <v>0.98666666666666669</v>
      </c>
      <c r="CS91" s="19">
        <f t="shared" ca="1" si="100"/>
        <v>0.38317757009345788</v>
      </c>
      <c r="CT91" s="23">
        <f t="shared" ca="1" si="101"/>
        <v>-0.19158878504672894</v>
      </c>
      <c r="CU91" s="23">
        <f t="shared" ca="1" si="102"/>
        <v>-0.1277258566978193</v>
      </c>
      <c r="CV91" s="23">
        <f t="shared" ca="1" si="103"/>
        <v>-7.6635514018691578E-2</v>
      </c>
      <c r="CW91" s="23">
        <f t="shared" ca="1" si="104"/>
        <v>-4.2575285565939765E-2</v>
      </c>
      <c r="CX91" s="23">
        <f t="shared" ca="1" si="105"/>
        <v>-2.2539857064321052E-2</v>
      </c>
      <c r="CY91" s="23">
        <f t="shared" ca="1" si="106"/>
        <v>-1.1611441517983573E-2</v>
      </c>
      <c r="CZ91" s="23">
        <f t="shared" ca="1" si="107"/>
        <v>-5.8950395398993521E-3</v>
      </c>
      <c r="DA91" s="24">
        <f t="shared" ca="1" si="108"/>
        <v>5.8950395398993521E-3</v>
      </c>
      <c r="DB91" s="24">
        <f t="shared" ca="1" si="109"/>
        <v>1.1611441517983573E-2</v>
      </c>
      <c r="DC91" s="24">
        <f t="shared" ca="1" si="110"/>
        <v>2.2539857064321052E-2</v>
      </c>
      <c r="DD91" s="24">
        <f t="shared" ca="1" si="111"/>
        <v>4.2575285565939765E-2</v>
      </c>
      <c r="DE91" s="24">
        <f t="shared" ca="1" si="112"/>
        <v>7.6635514018691578E-2</v>
      </c>
      <c r="DF91" s="24">
        <f t="shared" ca="1" si="113"/>
        <v>0.1277258566978193</v>
      </c>
      <c r="DG91" s="24">
        <f t="shared" ca="1" si="114"/>
        <v>0.19158878504672894</v>
      </c>
      <c r="DI91" s="19" cm="1">
        <f t="array" aca="1" ref="DI91" ca="1">MAX(_xlfn._xlws.FILTER(CT91:DG91,CT91:DG91&lt;BP91))</f>
        <v>-4.2575285565939765E-2</v>
      </c>
      <c r="DJ91" s="19" cm="1">
        <f t="array" aca="1" ref="DJ91" ca="1">MIN(_xlfn._xlws.FILTER(CT91:DG91,CT91:DG91&gt;BP91))</f>
        <v>-2.2539857064321052E-2</v>
      </c>
      <c r="DK91" s="2" cm="1">
        <f t="array" aca="1" ref="DK91" ca="1">_FV(EH91,"Fechamento anterior",TRUE)</f>
        <v>0.88</v>
      </c>
      <c r="DL91" s="36">
        <f ca="1">(BJ91-DM91)/(DN91-DM91)</f>
        <v>0.99064578713969131</v>
      </c>
      <c r="DM91" s="18">
        <f t="shared" ca="1" si="115"/>
        <v>0.84253374870197306</v>
      </c>
      <c r="DN91" s="18">
        <f t="shared" ca="1" si="116"/>
        <v>0.86016492578339743</v>
      </c>
      <c r="DO91" s="9"/>
      <c r="DP91" s="9"/>
      <c r="DQ91" s="94">
        <v>1.6603165752873034E-2</v>
      </c>
      <c r="DR91" s="94">
        <v>2.1190230478156182E-2</v>
      </c>
      <c r="DS91" s="94">
        <v>2.055555555555557E-2</v>
      </c>
      <c r="DT91" s="94">
        <f t="shared" ca="1" si="92"/>
        <v>2.0035428501618713E-2</v>
      </c>
      <c r="DU91" s="87">
        <f ca="1">(BJ91-CF91)/(CF91-CE91)</f>
        <v>0.20180938515497066</v>
      </c>
      <c r="DV91" s="46"/>
      <c r="DW91" s="43">
        <f>_xlfn.STDEV.P(BF91:BI91)</f>
        <v>0.13626720074911652</v>
      </c>
      <c r="DX91" s="76">
        <f ca="1">BO91-$DT$2</f>
        <v>0.34429999999999983</v>
      </c>
      <c r="DY91" s="76">
        <f ca="1">BO91-BP91*100</f>
        <v>3.6140999999999996</v>
      </c>
      <c r="DZ91" s="101"/>
      <c r="EA91" s="100">
        <v>-0.59419999999999984</v>
      </c>
      <c r="EB91" s="107">
        <v>1.2419000000000002</v>
      </c>
      <c r="EC91" s="107">
        <v>-3.1157999999999997</v>
      </c>
      <c r="ED91" s="98">
        <f t="shared" ca="1" si="93"/>
        <v>-3.2698</v>
      </c>
      <c r="EE91" s="66"/>
      <c r="EF91" s="66"/>
      <c r="EH91" s="2" t="e" vm="91">
        <v>#VALUE!</v>
      </c>
      <c r="EJ91" s="10" cm="1">
        <f t="array" aca="1" ref="EJ91" ca="1">_FV(EH91,"Ações em circulação",TRUE)</f>
        <v>124061300</v>
      </c>
      <c r="EK91" s="21">
        <f>VLOOKUP(BK91,Fundamentus!A:U,5,FALSE)</f>
        <v>1.3859999999999999</v>
      </c>
      <c r="EL91" s="2">
        <f ca="1">(BJ91*EJ91)/EK91</f>
        <v>76978873.015873015</v>
      </c>
      <c r="EM91" s="20">
        <v>-29514774.03809524</v>
      </c>
      <c r="EN91" s="20">
        <f t="shared" ca="1" si="94"/>
        <v>-28843983.719047617</v>
      </c>
      <c r="EP91" s="19">
        <f t="shared" ca="1" si="89"/>
        <v>-2.2727272727272818E-2</v>
      </c>
      <c r="EQ91" s="40" t="str">
        <f>IF(VLOOKUP(BK91,Fundamentus!A:U,3,FALSE)&lt;15,"Bom",IF(VLOOKUP(BK91,Fundamentus!A:U,3,FALSE)&gt;15,"Ruim","n/a"))</f>
        <v>Bom</v>
      </c>
      <c r="ER91" s="36" t="str">
        <f>IF(VLOOKUP(BK91,Fundamentus!A:U,4,FALSE)&lt;1,"Baixo",IF(VLOOKUP(BK91,Fundamentus!A:U,4,FALSE)&lt;1.5,"Moderado",IF(VLOOKUP(BK91,Fundamentus!A:U,4,FALSE)&gt;1.5,"Alto","n/a")))</f>
        <v>Baixo</v>
      </c>
      <c r="ES91" s="20" t="str">
        <f>IF(VLOOKUP(BK91,Fundamentus!A:U,8,FALSE)&lt;0,"Risco elevado",IF(VLOOKUP(BK91,Fundamentus!A:U,8,FALSE)&lt;1,"Saudável",IF(VLOOKUP(BK91,Fundamentus!A:U,8,FALSE)&lt;3,"Estável",IF(VLOOKUP(BK91,Fundamentus!A:U,8,FALSE)&gt;3,"Alerta","n/a"))))</f>
        <v>Risco elevado</v>
      </c>
      <c r="ET91" s="36" t="str">
        <f t="shared" si="95"/>
        <v>Bom</v>
      </c>
      <c r="EU91" s="20" t="str">
        <f>IF(VLOOKUP(BK91,Fundamentus!A:U,12,FALSE)&lt;2,"Subvalorizada",IF(VLOOKUP(BK91,Fundamentus!A:U,12,FALSE)&lt;6,"Muita barata",IF(VLOOKUP(BK91,Fundamentus!A:U,12,FALSE)&lt;6,"Barata",IF(VLOOKUP(BK91,Fundamentus!A:U,12,FALSE)&lt;8,"Atrativa",IF(VLOOKUP(BK91,Fundamentus!A:U,12,FALSE)&gt;8,"Supervalorizada","n/a")))))</f>
        <v>Supervalorizada</v>
      </c>
      <c r="EW91" s="20" t="str">
        <f>IF(VLOOKUP(BK91,Fundamentus!A:U,17,FALSE)&lt;0.1,"Fraco retorno",IF(VLOOKUP(BK91,Fundamentus!A:U,17,FALSE)&gt;0.1,"Bom retorno","n/a"))</f>
        <v>Fraco retorno</v>
      </c>
      <c r="EX91" s="20" t="str">
        <f>IF(VLOOKUP(BK91,Fundamentus!A:U,16,FALSE)&lt;0.1,"Ineficiente",IF(VLOOKUP(BK91,Fundamentus!A:U,16,FALSE)&gt;0.1,"Eficiente","n/a"))</f>
        <v>Ineficiente</v>
      </c>
      <c r="EY91" s="41" t="str">
        <f>IF(VLOOKUP(BK91,Fundamentus!A:U,16,FALSE)&lt;0.1,"Oper. Ineficiente",IF(VLOOKUP(BK91,Fundamentus!A:U,16,FALSE)&gt;0.1,"Oper.Eficiente","n/a"))</f>
        <v>Oper. Ineficiente</v>
      </c>
      <c r="EZ91" s="42">
        <f>VLOOKUP(BK91,Fundamentus!A:U,14,FALSE)</f>
        <v>-0.37469999999999998</v>
      </c>
      <c r="FA91" s="20" t="str">
        <f>IF(VLOOKUP(BK91,Fundamentus!A:U,21,FALSE)&lt;0,"Negativo",IF(VLOOKUP(BK91,Fundamentus!A:U,21,FALSE)&lt;0.05,"Fraco",IF(VLOOKUP(BK91,Fundamentus!A:U,21,FALSE)&lt;0.1,"Bom",IF(VLOOKUP(BK91,Fundamentus!A:U,21,FALSE)&gt;0.1,"Muito bom","n/a"))))</f>
        <v>Muito bom</v>
      </c>
      <c r="FC91" s="37" t="str">
        <f>IF(VLOOKUP(BK91,Fundamentus!A:U,15,FALSE)&gt;1,"Bom",IF(VLOOKUP(BK91,Fundamentus!A:U,15,FALSE)&lt;1,"Ruim","n/a"))</f>
        <v>Ruim</v>
      </c>
      <c r="FD91" s="20" t="str">
        <f>IF(VLOOKUP(BK91,Fundamentus!A:U,20,FALSE)&lt;0.5,"Baixa",IF(VLOOKUP(BK91,Fundamentus!A:U,20,FALSE)&lt;1,"Moderada",IF(VLOOKUP(BK91,Fundamentus!A:U,20,FALSE)&lt;2,"Alerta",IF(VLOOKUP(BK91,Fundamentus!A:U,20,FALSE)&gt;2,"Alta","n/a"))))</f>
        <v>Alerta</v>
      </c>
      <c r="FE91" s="10"/>
    </row>
    <row r="92" spans="1:161" s="2" customFormat="1" ht="11.25" hidden="1"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8">
        <v>55.14</v>
      </c>
      <c r="BC92" s="62">
        <v>57.54</v>
      </c>
      <c r="BD92" s="62">
        <v>61</v>
      </c>
      <c r="BE92" s="62">
        <v>60.1</v>
      </c>
      <c r="BF92" s="62">
        <v>60.17</v>
      </c>
      <c r="BG92" s="81">
        <v>59.11</v>
      </c>
      <c r="BH92" s="62">
        <v>58.1</v>
      </c>
      <c r="BI92" s="62">
        <v>57.84</v>
      </c>
      <c r="BJ92" s="62" cm="1">
        <f t="array" aca="1" ref="BJ92" ca="1">_FV(EH92,"Preço")</f>
        <v>57.82</v>
      </c>
      <c r="BK92" s="83" t="s">
        <v>151</v>
      </c>
      <c r="BL92" s="44" cm="1">
        <f t="array" aca="1" ref="BL92" ca="1">_FV(EH92,"Média de volume",TRUE)</f>
        <v>121120</v>
      </c>
      <c r="BM92" s="44">
        <v>62400</v>
      </c>
      <c r="BN92" s="44" cm="1">
        <f t="array" aca="1" ref="BN92" ca="1">_FV(EH92,"Volume")</f>
        <v>29100</v>
      </c>
      <c r="BO92" s="32" cm="1">
        <f t="array" aca="1" ref="BO92" ca="1">_FV(EH92,"Beta")</f>
        <v>1.2578</v>
      </c>
      <c r="BP92" s="86" cm="1">
        <f t="array" aca="1" ref="BP92" ca="1">_FV(EH92,"Variação (%)",TRUE)</f>
        <v>-3.458E-4</v>
      </c>
      <c r="BQ92" s="48"/>
      <c r="BR92" s="48"/>
      <c r="BT92" s="20" cm="1">
        <f t="array" aca="1" ref="BT92" ca="1">_FV(EH92,"Baixo")</f>
        <v>57.52</v>
      </c>
      <c r="BU92" s="20" cm="1">
        <f t="array" aca="1" ref="BU92" ca="1">_FV(EH92,"Alto")</f>
        <v>58.24</v>
      </c>
      <c r="BV92" s="32"/>
      <c r="BW92" s="73">
        <f ca="1">SQRT(22.5*(BJ92/VLOOKUP(BK92,Fundamentus!A:U,3,FALSE))*(BJ92/VLOOKUP(BK92,Fundamentus!A:U,4,FALSE)))</f>
        <v>53.885574652610167</v>
      </c>
      <c r="BY92" s="72">
        <f t="shared" ca="1" si="90"/>
        <v>-3.4578146611347033E-4</v>
      </c>
      <c r="BZ92" s="8"/>
      <c r="CA92" s="71">
        <f t="shared" si="98"/>
        <v>44.14</v>
      </c>
      <c r="CB92" s="71">
        <f t="shared" si="91"/>
        <v>61</v>
      </c>
      <c r="CC92" s="71">
        <f t="shared" si="99"/>
        <v>50.60696721311475</v>
      </c>
      <c r="CD92" s="17"/>
      <c r="CE92" s="43">
        <f t="shared" si="96"/>
        <v>54.96529893732734</v>
      </c>
      <c r="CF92" s="18">
        <f>FORECAST("04/07/2025", BF92:BI92, $BF$5:$BI$5)</f>
        <v>56.805000000000291</v>
      </c>
      <c r="CG92" s="43">
        <f t="shared" si="97"/>
        <v>58.644701062673242</v>
      </c>
      <c r="CI92" s="17"/>
      <c r="CJ92" s="20">
        <f>CA92-2*(CB92-CM92)</f>
        <v>30.793333333333351</v>
      </c>
      <c r="CK92" s="20">
        <f>CM92-(CB92-CA92)</f>
        <v>37.466666666666676</v>
      </c>
      <c r="CL92" s="20">
        <f>2*CM92-CB92</f>
        <v>47.65333333333335</v>
      </c>
      <c r="CM92" s="48">
        <f>(CB92+CA92+BI92)/3</f>
        <v>54.326666666666675</v>
      </c>
      <c r="CN92" s="20">
        <f>2*CM92-CA92</f>
        <v>64.51333333333335</v>
      </c>
      <c r="CO92" s="20">
        <f>CM92+(CB92-CA92)</f>
        <v>71.186666666666667</v>
      </c>
      <c r="CP92" s="20">
        <f>CB92+2*(CM92-CA92)</f>
        <v>81.373333333333349</v>
      </c>
      <c r="CQ92" s="2" cm="1">
        <f t="array" aca="1" ref="CQ92" ca="1">MAX(_xlfn._xlws.FILTER(CJ92:CP92,CJ92:CP92&lt;BJ92))</f>
        <v>54.326666666666675</v>
      </c>
      <c r="CR92" s="2" cm="1">
        <f t="array" aca="1" ref="CR92" ca="1">MIN(_xlfn._xlws.FILTER($CJ92:$CP92,$CJ92:$CP92&gt;BJ92))</f>
        <v>64.51333333333335</v>
      </c>
      <c r="CS92" s="19">
        <f t="shared" ca="1" si="100"/>
        <v>0.18750766965271826</v>
      </c>
      <c r="CT92" s="23">
        <f t="shared" ca="1" si="101"/>
        <v>-9.3753834826359128E-2</v>
      </c>
      <c r="CU92" s="23">
        <f t="shared" ca="1" si="102"/>
        <v>-6.2502556550906085E-2</v>
      </c>
      <c r="CV92" s="23">
        <f t="shared" ca="1" si="103"/>
        <v>-3.7501533930543653E-2</v>
      </c>
      <c r="CW92" s="23">
        <f t="shared" ca="1" si="104"/>
        <v>-2.0834185516968695E-2</v>
      </c>
      <c r="CX92" s="23">
        <f t="shared" ca="1" si="105"/>
        <v>-1.1029862920748132E-2</v>
      </c>
      <c r="CY92" s="23">
        <f t="shared" ca="1" si="106"/>
        <v>-5.6820505955369168E-3</v>
      </c>
      <c r="CZ92" s="23">
        <f t="shared" ca="1" si="107"/>
        <v>-2.8847333792725886E-3</v>
      </c>
      <c r="DA92" s="24">
        <f t="shared" ca="1" si="108"/>
        <v>2.8847333792725886E-3</v>
      </c>
      <c r="DB92" s="24">
        <f t="shared" ca="1" si="109"/>
        <v>5.6820505955369168E-3</v>
      </c>
      <c r="DC92" s="24">
        <f t="shared" ca="1" si="110"/>
        <v>1.1029862920748132E-2</v>
      </c>
      <c r="DD92" s="24">
        <f t="shared" ca="1" si="111"/>
        <v>2.0834185516968695E-2</v>
      </c>
      <c r="DE92" s="24">
        <f t="shared" ca="1" si="112"/>
        <v>3.7501533930543653E-2</v>
      </c>
      <c r="DF92" s="24">
        <f t="shared" ca="1" si="113"/>
        <v>6.2502556550906085E-2</v>
      </c>
      <c r="DG92" s="24">
        <f t="shared" ca="1" si="114"/>
        <v>9.3753834826359128E-2</v>
      </c>
      <c r="DI92" s="19" cm="1">
        <f t="array" aca="1" ref="DI92" ca="1">MAX(_xlfn._xlws.FILTER(CT92:DG92,CT92:DG92&lt;BP92))</f>
        <v>-2.8847333792725886E-3</v>
      </c>
      <c r="DJ92" s="19" cm="1">
        <f t="array" aca="1" ref="DJ92" ca="1">MIN(_xlfn._xlws.FILTER(CT92:DG92,CT92:DG92&gt;BP92))</f>
        <v>2.8847333792725886E-3</v>
      </c>
      <c r="DK92" s="2" cm="1">
        <f t="array" aca="1" ref="DK92" ca="1">_FV(EH92,"Fechamento anterior",TRUE)</f>
        <v>57.84</v>
      </c>
      <c r="DL92" s="36">
        <f ca="1">(BJ92-DM92)/(DN92-DM92)</f>
        <v>0.44006699742201749</v>
      </c>
      <c r="DM92" s="18">
        <f t="shared" ca="1" si="115"/>
        <v>57.673147021342878</v>
      </c>
      <c r="DN92" s="18">
        <f t="shared" ca="1" si="116"/>
        <v>58.006852978657129</v>
      </c>
      <c r="DO92" s="9"/>
      <c r="DP92" s="9"/>
      <c r="DQ92" s="94">
        <v>8.773745797967256E-3</v>
      </c>
      <c r="DR92" s="94">
        <v>8.773745797967256E-3</v>
      </c>
      <c r="DS92" s="94">
        <v>1.0132808069955535E-2</v>
      </c>
      <c r="DT92" s="94">
        <f t="shared" ca="1" si="92"/>
        <v>5.7694667585451772E-3</v>
      </c>
      <c r="DU92" s="87">
        <f ca="1">(BJ92-CF92)/(CF92-CE92)</f>
        <v>0.55172007050155669</v>
      </c>
      <c r="DV92" s="46"/>
      <c r="DW92" s="43">
        <f>_xlfn.STDEV.P(BF92:BI92)</f>
        <v>0.91985053133647698</v>
      </c>
      <c r="DX92" s="76">
        <f ca="1">BO92-$DT$2</f>
        <v>0.26069999999999993</v>
      </c>
      <c r="DY92" s="76">
        <f ca="1">BO92-BP92*100</f>
        <v>1.2923800000000001</v>
      </c>
      <c r="DZ92" s="101"/>
      <c r="EA92" s="100">
        <v>-0.9901000000000002</v>
      </c>
      <c r="EB92" s="107">
        <v>1.0529000000000002</v>
      </c>
      <c r="EC92" s="107">
        <v>0.26741999999999999</v>
      </c>
      <c r="ED92" s="98">
        <f t="shared" ca="1" si="93"/>
        <v>-1.0316800000000002</v>
      </c>
      <c r="EE92" s="66"/>
      <c r="EF92" s="66"/>
      <c r="EH92" s="2" t="e" vm="92">
        <v>#VALUE!</v>
      </c>
      <c r="EJ92" s="10" cm="1">
        <f t="array" aca="1" ref="EJ92" ca="1">_FV(EH92,"Ações em circulação",TRUE)</f>
        <v>113173300</v>
      </c>
      <c r="EK92" s="21">
        <f>VLOOKUP(BK92,Fundamentus!A:U,5,FALSE)</f>
        <v>1.1870000000000001</v>
      </c>
      <c r="EL92" s="2">
        <f ca="1">(BJ92*EJ92)/EK92</f>
        <v>5512788716.0909853</v>
      </c>
      <c r="EM92" s="20">
        <v>637498810.85358036</v>
      </c>
      <c r="EN92" s="20">
        <f t="shared" ca="1" si="94"/>
        <v>637278375.58011782</v>
      </c>
      <c r="EP92" s="19">
        <f t="shared" ca="1" si="89"/>
        <v>-3.4578146611341509E-4</v>
      </c>
      <c r="EQ92" s="40" t="str">
        <f>IF(VLOOKUP(BK92,Fundamentus!A:U,3,FALSE)&lt;15,"Bom",IF(VLOOKUP(BK92,Fundamentus!A:U,3,FALSE)&gt;15,"Ruim","n/a"))</f>
        <v>Bom</v>
      </c>
      <c r="ER92" s="36" t="str">
        <f>IF(VLOOKUP(BK92,Fundamentus!A:U,4,FALSE)&lt;1,"Baixo",IF(VLOOKUP(BK92,Fundamentus!A:U,4,FALSE)&lt;1.5,"Moderado",IF(VLOOKUP(BK92,Fundamentus!A:U,4,FALSE)&gt;1.5,"Alto","n/a")))</f>
        <v>Alto</v>
      </c>
      <c r="ES92" s="20" t="str">
        <f>IF(VLOOKUP(BK92,Fundamentus!A:U,8,FALSE)&lt;0,"Risco elevado",IF(VLOOKUP(BK92,Fundamentus!A:U,8,FALSE)&lt;1,"Saudável",IF(VLOOKUP(BK92,Fundamentus!A:U,8,FALSE)&lt;3,"Estável",IF(VLOOKUP(BK92,Fundamentus!A:U,8,FALSE)&gt;3,"Alerta","n/a"))))</f>
        <v>Alerta</v>
      </c>
      <c r="ET92" s="36" t="str">
        <f t="shared" si="95"/>
        <v>Bom</v>
      </c>
      <c r="EU92" s="20" t="str">
        <f>IF(VLOOKUP(BK92,Fundamentus!A:U,12,FALSE)&lt;2,"Subvalorizada",IF(VLOOKUP(BK92,Fundamentus!A:U,12,FALSE)&lt;6,"Muita barata",IF(VLOOKUP(BK92,Fundamentus!A:U,12,FALSE)&lt;6,"Barata",IF(VLOOKUP(BK92,Fundamentus!A:U,12,FALSE)&lt;8,"Atrativa",IF(VLOOKUP(BK92,Fundamentus!A:U,12,FALSE)&gt;8,"Supervalorizada","n/a")))))</f>
        <v>Atrativa</v>
      </c>
      <c r="EW92" s="20" t="str">
        <f>IF(VLOOKUP(BK92,Fundamentus!A:U,17,FALSE)&lt;0.1,"Fraco retorno",IF(VLOOKUP(BK92,Fundamentus!A:U,17,FALSE)&gt;0.1,"Bom retorno","n/a"))</f>
        <v>Bom retorno</v>
      </c>
      <c r="EX92" s="20" t="str">
        <f>IF(VLOOKUP(BK92,Fundamentus!A:U,16,FALSE)&lt;0.1,"Ineficiente",IF(VLOOKUP(BK92,Fundamentus!A:U,16,FALSE)&gt;0.1,"Eficiente","n/a"))</f>
        <v>Eficiente</v>
      </c>
      <c r="EY92" s="41" t="str">
        <f>IF(VLOOKUP(BK92,Fundamentus!A:U,16,FALSE)&lt;0.1,"Oper. Ineficiente",IF(VLOOKUP(BK92,Fundamentus!A:U,16,FALSE)&gt;0.1,"Oper.Eficiente","n/a"))</f>
        <v>Oper.Eficiente</v>
      </c>
      <c r="EZ92" s="42">
        <f>VLOOKUP(BK92,Fundamentus!A:U,14,FALSE)</f>
        <v>0.11559999999999999</v>
      </c>
      <c r="FA92" s="20" t="str">
        <f>IF(VLOOKUP(BK92,Fundamentus!A:U,21,FALSE)&lt;0,"Negativo",IF(VLOOKUP(BK92,Fundamentus!A:U,21,FALSE)&lt;0.05,"Fraco",IF(VLOOKUP(BK92,Fundamentus!A:U,21,FALSE)&lt;0.1,"Bom",IF(VLOOKUP(BK92,Fundamentus!A:U,21,FALSE)&gt;0.1,"Muito bom","n/a"))))</f>
        <v>Fraco</v>
      </c>
      <c r="FC92" s="37" t="str">
        <f>IF(VLOOKUP(BK92,Fundamentus!A:U,15,FALSE)&gt;1,"Bom",IF(VLOOKUP(BK92,Fundamentus!A:U,15,FALSE)&lt;1,"Ruim","n/a"))</f>
        <v>Bom</v>
      </c>
      <c r="FD92" s="20" t="str">
        <f>IF(VLOOKUP(BK92,Fundamentus!A:U,20,FALSE)&lt;0.5,"Baixa",IF(VLOOKUP(BK92,Fundamentus!A:U,20,FALSE)&lt;1,"Moderada",IF(VLOOKUP(BK92,Fundamentus!A:U,20,FALSE)&lt;2,"Alerta",IF(VLOOKUP(BK92,Fundamentus!A:U,20,FALSE)&gt;2,"Alta","n/a"))))</f>
        <v>Moderada</v>
      </c>
      <c r="FE92" s="10"/>
    </row>
    <row r="93" spans="1:161" s="2" customFormat="1" ht="11.25" hidden="1"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8">
        <v>13.75</v>
      </c>
      <c r="BC93" s="62">
        <v>13.7</v>
      </c>
      <c r="BD93" s="62">
        <v>13.17</v>
      </c>
      <c r="BE93" s="62">
        <v>13.33</v>
      </c>
      <c r="BF93" s="62">
        <v>13.57</v>
      </c>
      <c r="BG93" s="81">
        <v>13.29</v>
      </c>
      <c r="BH93" s="62">
        <v>13.04</v>
      </c>
      <c r="BI93" s="62">
        <v>13.46</v>
      </c>
      <c r="BJ93" s="62" cm="1">
        <f t="array" aca="1" ref="BJ93" ca="1">_FV(EH93,"Preço")</f>
        <v>13.7</v>
      </c>
      <c r="BK93" s="83" t="s">
        <v>90</v>
      </c>
      <c r="BL93" s="44" cm="1">
        <f t="array" aca="1" ref="BL93" ca="1">_FV(EH93,"Média de volume",TRUE)</f>
        <v>1041300</v>
      </c>
      <c r="BM93" s="44">
        <v>944900</v>
      </c>
      <c r="BN93" s="44" cm="1">
        <f t="array" aca="1" ref="BN93" ca="1">_FV(EH93,"Volume")</f>
        <v>532000</v>
      </c>
      <c r="BO93" s="32" cm="1">
        <f t="array" aca="1" ref="BO93" ca="1">_FV(EH93,"Beta")</f>
        <v>1.611</v>
      </c>
      <c r="BP93" s="86" cm="1">
        <f t="array" aca="1" ref="BP93" ca="1">_FV(EH93,"Variação (%)",TRUE)</f>
        <v>1.7831E-2</v>
      </c>
      <c r="BQ93" s="48"/>
      <c r="BR93" s="48"/>
      <c r="BT93" s="20" cm="1">
        <f t="array" aca="1" ref="BT93" ca="1">_FV(EH93,"Baixo")</f>
        <v>13.37</v>
      </c>
      <c r="BU93" s="20" cm="1">
        <f t="array" aca="1" ref="BU93" ca="1">_FV(EH93,"Alto")</f>
        <v>13.82</v>
      </c>
      <c r="BV93" s="32"/>
      <c r="BW93" s="73">
        <f ca="1">SQRT(22.5*(BJ93/VLOOKUP(BK93,Fundamentus!A:U,3,FALSE))*(BJ93/VLOOKUP(BK93,Fundamentus!A:U,4,FALSE)))</f>
        <v>32.557583370695049</v>
      </c>
      <c r="BY93" s="72">
        <f t="shared" ca="1" si="90"/>
        <v>1.7830609212481308E-2</v>
      </c>
      <c r="BZ93" s="8"/>
      <c r="CA93" s="71">
        <f t="shared" si="98"/>
        <v>10.59</v>
      </c>
      <c r="CB93" s="71">
        <f t="shared" si="91"/>
        <v>15.64</v>
      </c>
      <c r="CC93" s="71">
        <f t="shared" si="99"/>
        <v>13.470409836065574</v>
      </c>
      <c r="CD93" s="17"/>
      <c r="CE93" s="43">
        <f t="shared" si="96"/>
        <v>12.795250078173858</v>
      </c>
      <c r="CF93" s="18">
        <f>FORECAST("04/07/2025", BF93:BI93, $BF$5:$BI$5)</f>
        <v>13.194999999999993</v>
      </c>
      <c r="CG93" s="43">
        <f t="shared" si="97"/>
        <v>13.594749921826129</v>
      </c>
      <c r="CI93" s="17"/>
      <c r="CJ93" s="20">
        <f>CA93-2*(CB93-CM93)</f>
        <v>5.769999999999996</v>
      </c>
      <c r="CK93" s="20">
        <f>CM93-(CB93-CA93)</f>
        <v>8.1799999999999979</v>
      </c>
      <c r="CL93" s="20">
        <f>2*CM93-CB93</f>
        <v>10.819999999999997</v>
      </c>
      <c r="CM93" s="48">
        <f>(CB93+CA93+BI93)/3</f>
        <v>13.229999999999999</v>
      </c>
      <c r="CN93" s="20">
        <f>2*CM93-CA93</f>
        <v>15.869999999999997</v>
      </c>
      <c r="CO93" s="20">
        <f>CM93+(CB93-CA93)</f>
        <v>18.28</v>
      </c>
      <c r="CP93" s="20">
        <f>CB93+2*(CM93-CA93)</f>
        <v>20.919999999999998</v>
      </c>
      <c r="CQ93" s="2" cm="1">
        <f t="array" aca="1" ref="CQ93" ca="1">MAX(_xlfn._xlws.FILTER(CJ93:CP93,CJ93:CP93&lt;BJ93))</f>
        <v>13.229999999999999</v>
      </c>
      <c r="CR93" s="2" cm="1">
        <f t="array" aca="1" ref="CR93" ca="1">MIN(_xlfn._xlws.FILTER($CJ93:$CP93,$CJ93:$CP93&gt;BJ93))</f>
        <v>15.869999999999997</v>
      </c>
      <c r="CS93" s="19">
        <f t="shared" ca="1" si="100"/>
        <v>0.1995464852607709</v>
      </c>
      <c r="CT93" s="23">
        <f t="shared" ca="1" si="101"/>
        <v>-9.977324263038545E-2</v>
      </c>
      <c r="CU93" s="23">
        <f t="shared" ca="1" si="102"/>
        <v>-6.6515495086923629E-2</v>
      </c>
      <c r="CV93" s="23">
        <f t="shared" ca="1" si="103"/>
        <v>-3.990929705215418E-2</v>
      </c>
      <c r="CW93" s="23">
        <f t="shared" ca="1" si="104"/>
        <v>-2.2171831695641211E-2</v>
      </c>
      <c r="CX93" s="23">
        <f t="shared" ca="1" si="105"/>
        <v>-1.173802854475123E-2</v>
      </c>
      <c r="CY93" s="23">
        <f t="shared" ca="1" si="106"/>
        <v>-6.0468631897203301E-3</v>
      </c>
      <c r="CZ93" s="23">
        <f t="shared" ca="1" si="107"/>
        <v>-3.0699459270887831E-3</v>
      </c>
      <c r="DA93" s="24">
        <f t="shared" ca="1" si="108"/>
        <v>3.0699459270887831E-3</v>
      </c>
      <c r="DB93" s="24">
        <f t="shared" ca="1" si="109"/>
        <v>6.0468631897203301E-3</v>
      </c>
      <c r="DC93" s="24">
        <f t="shared" ca="1" si="110"/>
        <v>1.173802854475123E-2</v>
      </c>
      <c r="DD93" s="24">
        <f t="shared" ca="1" si="111"/>
        <v>2.2171831695641211E-2</v>
      </c>
      <c r="DE93" s="24">
        <f t="shared" ca="1" si="112"/>
        <v>3.990929705215418E-2</v>
      </c>
      <c r="DF93" s="24">
        <f t="shared" ca="1" si="113"/>
        <v>6.6515495086923629E-2</v>
      </c>
      <c r="DG93" s="24">
        <f t="shared" ca="1" si="114"/>
        <v>9.977324263038545E-2</v>
      </c>
      <c r="DI93" s="19" cm="1">
        <f t="array" aca="1" ref="DI93" ca="1">MAX(_xlfn._xlws.FILTER(CT93:DG93,CT93:DG93&lt;BP93))</f>
        <v>1.173802854475123E-2</v>
      </c>
      <c r="DJ93" s="19" cm="1">
        <f t="array" aca="1" ref="DJ93" ca="1">MIN(_xlfn._xlws.FILTER(CT93:DG93,CT93:DG93&gt;BP93))</f>
        <v>2.2171831695641211E-2</v>
      </c>
      <c r="DK93" s="2" cm="1">
        <f t="array" aca="1" ref="DK93" ca="1">_FV(EH93,"Fechamento anterior",TRUE)</f>
        <v>13.46</v>
      </c>
      <c r="DL93" s="36">
        <f ca="1">(BJ93-DM93)/(DN93-DM93)</f>
        <v>0.58392712413885561</v>
      </c>
      <c r="DM93" s="18">
        <f t="shared" ca="1" si="115"/>
        <v>13.617993864212352</v>
      </c>
      <c r="DN93" s="18">
        <f t="shared" ca="1" si="116"/>
        <v>13.758432854623331</v>
      </c>
      <c r="DO93" s="9"/>
      <c r="DP93" s="9"/>
      <c r="DQ93" s="94">
        <v>9.085004861603841E-3</v>
      </c>
      <c r="DR93" s="94">
        <v>9.085004861603841E-3</v>
      </c>
      <c r="DS93" s="94">
        <v>1.0253764123733166E-2</v>
      </c>
      <c r="DT93" s="94">
        <f t="shared" ca="1" si="92"/>
        <v>1.0433803150889981E-2</v>
      </c>
      <c r="DU93" s="87">
        <f ca="1">(BJ93-CF93)/(CF93-CE93)</f>
        <v>1.2632898030175164</v>
      </c>
      <c r="DV93" s="46"/>
      <c r="DW93" s="43">
        <f>_xlfn.STDEV.P(BF93:BI93)</f>
        <v>0.19987496091306745</v>
      </c>
      <c r="DX93" s="76">
        <f ca="1">BO93-$DT$2</f>
        <v>0.61389999999999989</v>
      </c>
      <c r="DY93" s="76">
        <f ca="1">BO93-BP93*100</f>
        <v>-0.17209999999999992</v>
      </c>
      <c r="DZ93" s="101"/>
      <c r="EA93" s="100">
        <v>-0.60020000000000029</v>
      </c>
      <c r="EB93" s="107">
        <v>-0.19419999999999993</v>
      </c>
      <c r="EC93" s="107">
        <v>1.3079000000000001</v>
      </c>
      <c r="ED93" s="98">
        <f t="shared" ca="1" si="93"/>
        <v>0.78599999999999981</v>
      </c>
      <c r="EE93" s="66"/>
      <c r="EF93" s="66"/>
      <c r="EH93" s="2" t="e" vm="93">
        <v>#VALUE!</v>
      </c>
      <c r="EJ93" s="10" cm="1">
        <f t="array" aca="1" ref="EJ93" ca="1">_FV(EH93,"Ações em circulação",TRUE)</f>
        <v>220989100</v>
      </c>
      <c r="EK93" s="21">
        <f>VLOOKUP(BK93,Fundamentus!A:U,5,FALSE)</f>
        <v>1.7989999999999999</v>
      </c>
      <c r="EL93" s="2">
        <f ca="1">(BJ93*EJ93)/EK93</f>
        <v>1682907543.0794888</v>
      </c>
      <c r="EM93" s="20">
        <v>475359960.93663144</v>
      </c>
      <c r="EN93" s="20">
        <f t="shared" ca="1" si="94"/>
        <v>483835918.63535297</v>
      </c>
      <c r="EP93" s="19">
        <f t="shared" ca="1" si="89"/>
        <v>1.7830609212481363E-2</v>
      </c>
      <c r="EQ93" s="40" t="str">
        <f>IF(VLOOKUP(BK93,Fundamentus!A:U,3,FALSE)&lt;15,"Bom",IF(VLOOKUP(BK93,Fundamentus!A:U,3,FALSE)&gt;15,"Ruim","n/a"))</f>
        <v>Bom</v>
      </c>
      <c r="ER93" s="36" t="str">
        <f>IF(VLOOKUP(BK93,Fundamentus!A:U,4,FALSE)&lt;1,"Baixo",IF(VLOOKUP(BK93,Fundamentus!A:U,4,FALSE)&lt;1.5,"Moderado",IF(VLOOKUP(BK93,Fundamentus!A:U,4,FALSE)&gt;1.5,"Alto","n/a")))</f>
        <v>Baixo</v>
      </c>
      <c r="ES93" s="20" t="str">
        <f>IF(VLOOKUP(BK93,Fundamentus!A:U,8,FALSE)&lt;0,"Risco elevado",IF(VLOOKUP(BK93,Fundamentus!A:U,8,FALSE)&lt;1,"Saudável",IF(VLOOKUP(BK93,Fundamentus!A:U,8,FALSE)&lt;3,"Estável",IF(VLOOKUP(BK93,Fundamentus!A:U,8,FALSE)&gt;3,"Alerta","n/a"))))</f>
        <v>Estável</v>
      </c>
      <c r="ET93" s="36" t="str">
        <f t="shared" si="95"/>
        <v>Bom</v>
      </c>
      <c r="EU93" s="20" t="str">
        <f>IF(VLOOKUP(BK93,Fundamentus!A:U,12,FALSE)&lt;2,"Subvalorizada",IF(VLOOKUP(BK93,Fundamentus!A:U,12,FALSE)&lt;6,"Muita barata",IF(VLOOKUP(BK93,Fundamentus!A:U,12,FALSE)&lt;6,"Barata",IF(VLOOKUP(BK93,Fundamentus!A:U,12,FALSE)&lt;8,"Atrativa",IF(VLOOKUP(BK93,Fundamentus!A:U,12,FALSE)&gt;8,"Supervalorizada","n/a")))))</f>
        <v>Supervalorizada</v>
      </c>
      <c r="EW93" s="20" t="str">
        <f>IF(VLOOKUP(BK93,Fundamentus!A:U,17,FALSE)&lt;0.1,"Fraco retorno",IF(VLOOKUP(BK93,Fundamentus!A:U,17,FALSE)&gt;0.1,"Bom retorno","n/a"))</f>
        <v>Fraco retorno</v>
      </c>
      <c r="EX93" s="20" t="str">
        <f>IF(VLOOKUP(BK93,Fundamentus!A:U,16,FALSE)&lt;0.1,"Ineficiente",IF(VLOOKUP(BK93,Fundamentus!A:U,16,FALSE)&gt;0.1,"Eficiente","n/a"))</f>
        <v>Ineficiente</v>
      </c>
      <c r="EY93" s="41" t="str">
        <f>IF(VLOOKUP(BK93,Fundamentus!A:U,16,FALSE)&lt;0.1,"Oper. Ineficiente",IF(VLOOKUP(BK93,Fundamentus!A:U,16,FALSE)&gt;0.1,"Oper.Eficiente","n/a"))</f>
        <v>Oper. Ineficiente</v>
      </c>
      <c r="EZ93" s="42">
        <f>VLOOKUP(BK93,Fundamentus!A:U,14,FALSE)</f>
        <v>0.28749999999999998</v>
      </c>
      <c r="FA93" s="20" t="str">
        <f>IF(VLOOKUP(BK93,Fundamentus!A:U,21,FALSE)&lt;0,"Negativo",IF(VLOOKUP(BK93,Fundamentus!A:U,21,FALSE)&lt;0.05,"Fraco",IF(VLOOKUP(BK93,Fundamentus!A:U,21,FALSE)&lt;0.1,"Bom",IF(VLOOKUP(BK93,Fundamentus!A:U,21,FALSE)&gt;0.1,"Muito bom","n/a"))))</f>
        <v>Muito bom</v>
      </c>
      <c r="FC93" s="37" t="str">
        <f>IF(VLOOKUP(BK93,Fundamentus!A:U,15,FALSE)&gt;1,"Bom",IF(VLOOKUP(BK93,Fundamentus!A:U,15,FALSE)&lt;1,"Ruim","n/a"))</f>
        <v>Bom</v>
      </c>
      <c r="FD93" s="20" t="str">
        <f>IF(VLOOKUP(BK93,Fundamentus!A:U,20,FALSE)&lt;0.5,"Baixa",IF(VLOOKUP(BK93,Fundamentus!A:U,20,FALSE)&lt;1,"Moderada",IF(VLOOKUP(BK93,Fundamentus!A:U,20,FALSE)&lt;2,"Alerta",IF(VLOOKUP(BK93,Fundamentus!A:U,20,FALSE)&gt;2,"Alta","n/a"))))</f>
        <v>Baixa</v>
      </c>
      <c r="FE93" s="10"/>
    </row>
    <row r="94" spans="1:161" s="2" customFormat="1" ht="11.25" hidden="1"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8">
        <v>51.47</v>
      </c>
      <c r="BC94" s="62">
        <v>53.82</v>
      </c>
      <c r="BD94" s="62">
        <v>52.96</v>
      </c>
      <c r="BE94" s="62">
        <v>49.65</v>
      </c>
      <c r="BF94" s="62">
        <v>53.42</v>
      </c>
      <c r="BG94" s="81">
        <v>54.11</v>
      </c>
      <c r="BH94" s="62">
        <v>51.87</v>
      </c>
      <c r="BI94" s="62">
        <v>51.15</v>
      </c>
      <c r="BJ94" s="62" cm="1">
        <f t="array" aca="1" ref="BJ94" ca="1">_FV(EH94,"Preço")</f>
        <v>51.17</v>
      </c>
      <c r="BK94" s="83" t="s">
        <v>91</v>
      </c>
      <c r="BL94" s="44" cm="1">
        <f t="array" aca="1" ref="BL94" ca="1">_FV(EH94,"Média de volume",TRUE)</f>
        <v>5780760</v>
      </c>
      <c r="BM94" s="44">
        <v>4121500</v>
      </c>
      <c r="BN94" s="44" cm="1">
        <f t="array" aca="1" ref="BN94" ca="1">_FV(EH94,"Volume")</f>
        <v>1187200</v>
      </c>
      <c r="BO94" s="32" cm="1">
        <f t="array" aca="1" ref="BO94" ca="1">_FV(EH94,"Beta")</f>
        <v>0.3926</v>
      </c>
      <c r="BP94" s="86" cm="1">
        <f t="array" aca="1" ref="BP94" ca="1">_FV(EH94,"Variação (%)",TRUE)</f>
        <v>3.9100000000000002E-4</v>
      </c>
      <c r="BQ94" s="48"/>
      <c r="BR94" s="48"/>
      <c r="BT94" s="20" cm="1">
        <f t="array" aca="1" ref="BT94" ca="1">_FV(EH94,"Baixo")</f>
        <v>50.73</v>
      </c>
      <c r="BU94" s="20" cm="1">
        <f t="array" aca="1" ref="BU94" ca="1">_FV(EH94,"Alto")</f>
        <v>51.39</v>
      </c>
      <c r="BV94" s="32"/>
      <c r="BW94" s="73" t="e">
        <f ca="1">SQRT(22.5*(BJ94/VLOOKUP(BK94,Fundamentus!A:U,3,FALSE))*(BJ94/VLOOKUP(BK94,Fundamentus!A:U,4,FALSE)))</f>
        <v>#NUM!</v>
      </c>
      <c r="BY94" s="72">
        <f t="shared" ca="1" si="90"/>
        <v>3.9100684261980699E-4</v>
      </c>
      <c r="BZ94" s="8"/>
      <c r="CA94" s="71">
        <f t="shared" si="98"/>
        <v>48.65</v>
      </c>
      <c r="CB94" s="71">
        <f t="shared" si="91"/>
        <v>65.430000000000007</v>
      </c>
      <c r="CC94" s="71">
        <f t="shared" si="99"/>
        <v>55.410327868852477</v>
      </c>
      <c r="CD94" s="17"/>
      <c r="CE94" s="43">
        <f t="shared" si="96"/>
        <v>48.01231614472016</v>
      </c>
      <c r="CF94" s="18">
        <f>FORECAST("04/07/2025", BF94:BI94, $BF$5:$BI$5)</f>
        <v>50.375</v>
      </c>
      <c r="CG94" s="43">
        <f t="shared" si="97"/>
        <v>52.73768385527984</v>
      </c>
      <c r="CI94" s="17"/>
      <c r="CJ94" s="20">
        <f>CA94-2*(CB94-CM94)</f>
        <v>27.943333333333335</v>
      </c>
      <c r="CK94" s="20">
        <f>CM94-(CB94-CA94)</f>
        <v>38.296666666666667</v>
      </c>
      <c r="CL94" s="20">
        <f>2*CM94-CB94</f>
        <v>44.723333333333343</v>
      </c>
      <c r="CM94" s="48">
        <f>(CB94+CA94+BI94)/3</f>
        <v>55.076666666666675</v>
      </c>
      <c r="CN94" s="20">
        <f>2*CM94-CA94</f>
        <v>61.503333333333352</v>
      </c>
      <c r="CO94" s="20">
        <f>CM94+(CB94-CA94)</f>
        <v>71.856666666666683</v>
      </c>
      <c r="CP94" s="20">
        <f>CB94+2*(CM94-CA94)</f>
        <v>78.28333333333336</v>
      </c>
      <c r="CQ94" s="2" cm="1">
        <f t="array" aca="1" ref="CQ94" ca="1">MAX(_xlfn._xlws.FILTER(CJ94:CP94,CJ94:CP94&lt;BJ94))</f>
        <v>44.723333333333343</v>
      </c>
      <c r="CR94" s="2" cm="1">
        <f t="array" aca="1" ref="CR94" ca="1">MIN(_xlfn._xlws.FILTER($CJ94:$CP94,$CJ94:$CP94&gt;BJ94))</f>
        <v>55.076666666666675</v>
      </c>
      <c r="CS94" s="19">
        <f t="shared" ca="1" si="100"/>
        <v>0.23149735410300365</v>
      </c>
      <c r="CT94" s="23">
        <f t="shared" ca="1" si="101"/>
        <v>-0.11574867705150182</v>
      </c>
      <c r="CU94" s="23">
        <f t="shared" ca="1" si="102"/>
        <v>-7.7165784701001217E-2</v>
      </c>
      <c r="CV94" s="23">
        <f t="shared" ca="1" si="103"/>
        <v>-4.6299470820600729E-2</v>
      </c>
      <c r="CW94" s="23">
        <f t="shared" ca="1" si="104"/>
        <v>-2.5721928233667073E-2</v>
      </c>
      <c r="CX94" s="23">
        <f t="shared" ca="1" si="105"/>
        <v>-1.3617491417823743E-2</v>
      </c>
      <c r="CY94" s="23">
        <f t="shared" ca="1" si="106"/>
        <v>-7.0150713364546561E-3</v>
      </c>
      <c r="CZ94" s="23">
        <f t="shared" ca="1" si="107"/>
        <v>-3.5614977554308254E-3</v>
      </c>
      <c r="DA94" s="24">
        <f t="shared" ca="1" si="108"/>
        <v>3.5614977554308254E-3</v>
      </c>
      <c r="DB94" s="24">
        <f t="shared" ca="1" si="109"/>
        <v>7.0150713364546561E-3</v>
      </c>
      <c r="DC94" s="24">
        <f t="shared" ca="1" si="110"/>
        <v>1.3617491417823743E-2</v>
      </c>
      <c r="DD94" s="24">
        <f t="shared" ca="1" si="111"/>
        <v>2.5721928233667073E-2</v>
      </c>
      <c r="DE94" s="24">
        <f t="shared" ca="1" si="112"/>
        <v>4.6299470820600729E-2</v>
      </c>
      <c r="DF94" s="24">
        <f t="shared" ca="1" si="113"/>
        <v>7.7165784701001217E-2</v>
      </c>
      <c r="DG94" s="24">
        <f t="shared" ca="1" si="114"/>
        <v>0.11574867705150182</v>
      </c>
      <c r="DI94" s="19" cm="1">
        <f t="array" aca="1" ref="DI94" ca="1">MAX(_xlfn._xlws.FILTER(CT94:DG94,CT94:DG94&lt;BP94))</f>
        <v>-3.5614977554308254E-3</v>
      </c>
      <c r="DJ94" s="19" cm="1">
        <f t="array" aca="1" ref="DJ94" ca="1">MIN(_xlfn._xlws.FILTER(CT94:DG94,CT94:DG94&gt;BP94))</f>
        <v>3.5614977554308254E-3</v>
      </c>
      <c r="DK94" s="2" cm="1">
        <f t="array" aca="1" ref="DK94" ca="1">_FV(EH94,"Fechamento anterior",TRUE)</f>
        <v>51.15</v>
      </c>
      <c r="DL94" s="36">
        <f ca="1">(BJ94-DM94)/(DN94-DM94)</f>
        <v>0.55489359666499571</v>
      </c>
      <c r="DM94" s="18">
        <f t="shared" ca="1" si="115"/>
        <v>50.967829389809715</v>
      </c>
      <c r="DN94" s="18">
        <f t="shared" ca="1" si="116"/>
        <v>51.332170610190282</v>
      </c>
      <c r="DO94" s="9"/>
      <c r="DP94" s="9"/>
      <c r="DQ94" s="94">
        <v>1.1613790418941968E-2</v>
      </c>
      <c r="DR94" s="94">
        <v>8.0201443469339051E-3</v>
      </c>
      <c r="DS94" s="94">
        <v>1.0488122248209263E-2</v>
      </c>
      <c r="DT94" s="94">
        <f t="shared" ca="1" si="92"/>
        <v>7.1229955108616507E-3</v>
      </c>
      <c r="DU94" s="87">
        <f ca="1">(BJ94-CF94)/(CF94-CE94)</f>
        <v>0.33648175071050312</v>
      </c>
      <c r="DV94" s="46"/>
      <c r="DW94" s="43">
        <f>_xlfn.STDEV.P(BF94:BI94)</f>
        <v>1.1813419276399202</v>
      </c>
      <c r="DX94" s="76">
        <f ca="1">BO94-$DT$2</f>
        <v>-0.60450000000000004</v>
      </c>
      <c r="DY94" s="76">
        <f ca="1">BO94-BP94*100</f>
        <v>0.35349999999999998</v>
      </c>
      <c r="DZ94" s="101"/>
      <c r="EA94" s="100">
        <v>-2.6689999999999996</v>
      </c>
      <c r="EB94" s="107">
        <v>-0.2209000000000001</v>
      </c>
      <c r="EC94" s="107">
        <v>-0.71039999999999981</v>
      </c>
      <c r="ED94" s="98">
        <f t="shared" ca="1" si="93"/>
        <v>-0.95799999999999996</v>
      </c>
      <c r="EE94" s="66"/>
      <c r="EF94" s="66"/>
      <c r="EH94" s="2" t="e" vm="94">
        <v>#VALUE!</v>
      </c>
      <c r="EJ94" s="10" cm="1">
        <f t="array" aca="1" ref="EJ94" ca="1">_FV(EH94,"Ações em circulação",TRUE)</f>
        <v>1264118000</v>
      </c>
      <c r="EK94" s="21">
        <f>VLOOKUP(BK94,Fundamentus!A:U,5,FALSE)</f>
        <v>1.3819999999999999</v>
      </c>
      <c r="EL94" s="2">
        <f ca="1">(BJ94*EJ94)/EK94</f>
        <v>46805295267.727936</v>
      </c>
      <c r="EM94" s="20">
        <v>-865559522.75687408</v>
      </c>
      <c r="EN94" s="20">
        <f t="shared" ca="1" si="94"/>
        <v>-865897962.45296681</v>
      </c>
      <c r="EP94" s="19">
        <f t="shared" ca="1" si="89"/>
        <v>3.9100684261983432E-4</v>
      </c>
      <c r="EQ94" s="40" t="str">
        <f>IF(VLOOKUP(BK94,Fundamentus!A:U,3,FALSE)&lt;15,"Bom",IF(VLOOKUP(BK94,Fundamentus!A:U,3,FALSE)&gt;15,"Ruim","n/a"))</f>
        <v>Bom</v>
      </c>
      <c r="ER94" s="36" t="str">
        <f>IF(VLOOKUP(BK94,Fundamentus!A:U,4,FALSE)&lt;1,"Baixo",IF(VLOOKUP(BK94,Fundamentus!A:U,4,FALSE)&lt;1.5,"Moderado",IF(VLOOKUP(BK94,Fundamentus!A:U,4,FALSE)&gt;1.5,"Alto","n/a")))</f>
        <v>Alto</v>
      </c>
      <c r="ES94" s="20" t="str">
        <f>IF(VLOOKUP(BK94,Fundamentus!A:U,8,FALSE)&lt;0,"Risco elevado",IF(VLOOKUP(BK94,Fundamentus!A:U,8,FALSE)&lt;1,"Saudável",IF(VLOOKUP(BK94,Fundamentus!A:U,8,FALSE)&lt;3,"Estável",IF(VLOOKUP(BK94,Fundamentus!A:U,8,FALSE)&gt;3,"Alerta","n/a"))))</f>
        <v>Alerta</v>
      </c>
      <c r="ET94" s="36" t="str">
        <f t="shared" si="95"/>
        <v>Bom</v>
      </c>
      <c r="EU94" s="20" t="str">
        <f>IF(VLOOKUP(BK94,Fundamentus!A:U,12,FALSE)&lt;2,"Subvalorizada",IF(VLOOKUP(BK94,Fundamentus!A:U,12,FALSE)&lt;6,"Muita barata",IF(VLOOKUP(BK94,Fundamentus!A:U,12,FALSE)&lt;6,"Barata",IF(VLOOKUP(BK94,Fundamentus!A:U,12,FALSE)&lt;8,"Atrativa",IF(VLOOKUP(BK94,Fundamentus!A:U,12,FALSE)&gt;8,"Supervalorizada","n/a")))))</f>
        <v>Muita barata</v>
      </c>
      <c r="EW94" s="20" t="str">
        <f>IF(VLOOKUP(BK94,Fundamentus!A:U,17,FALSE)&lt;0.1,"Fraco retorno",IF(VLOOKUP(BK94,Fundamentus!A:U,17,FALSE)&gt;0.1,"Bom retorno","n/a"))</f>
        <v>Fraco retorno</v>
      </c>
      <c r="EX94" s="20" t="str">
        <f>IF(VLOOKUP(BK94,Fundamentus!A:U,16,FALSE)&lt;0.1,"Ineficiente",IF(VLOOKUP(BK94,Fundamentus!A:U,16,FALSE)&gt;0.1,"Eficiente","n/a"))</f>
        <v>Eficiente</v>
      </c>
      <c r="EY94" s="41" t="str">
        <f>IF(VLOOKUP(BK94,Fundamentus!A:U,16,FALSE)&lt;0.1,"Oper. Ineficiente",IF(VLOOKUP(BK94,Fundamentus!A:U,16,FALSE)&gt;0.1,"Oper.Eficiente","n/a"))</f>
        <v>Oper.Eficiente</v>
      </c>
      <c r="EZ94" s="42">
        <f>VLOOKUP(BK94,Fundamentus!A:U,14,FALSE)</f>
        <v>-1.8499999999999999E-2</v>
      </c>
      <c r="FA94" s="20" t="str">
        <f>IF(VLOOKUP(BK94,Fundamentus!A:U,21,FALSE)&lt;0,"Negativo",IF(VLOOKUP(BK94,Fundamentus!A:U,21,FALSE)&lt;0.05,"Fraco",IF(VLOOKUP(BK94,Fundamentus!A:U,21,FALSE)&lt;0.1,"Bom",IF(VLOOKUP(BK94,Fundamentus!A:U,21,FALSE)&gt;0.1,"Muito bom","n/a"))))</f>
        <v>Bom</v>
      </c>
      <c r="FC94" s="37" t="str">
        <f>IF(VLOOKUP(BK94,Fundamentus!A:U,15,FALSE)&gt;1,"Bom",IF(VLOOKUP(BK94,Fundamentus!A:U,15,FALSE)&lt;1,"Ruim","n/a"))</f>
        <v>Bom</v>
      </c>
      <c r="FD94" s="20" t="str">
        <f>IF(VLOOKUP(BK94,Fundamentus!A:U,20,FALSE)&lt;0.5,"Baixa",IF(VLOOKUP(BK94,Fundamentus!A:U,20,FALSE)&lt;1,"Moderada",IF(VLOOKUP(BK94,Fundamentus!A:U,20,FALSE)&lt;2,"Alerta",IF(VLOOKUP(BK94,Fundamentus!A:U,20,FALSE)&gt;2,"Alta","n/a"))))</f>
        <v>Alta</v>
      </c>
      <c r="FE94" s="10"/>
    </row>
    <row r="95" spans="1:161" s="2" customFormat="1" ht="11.25" hidden="1"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8">
        <v>33.08</v>
      </c>
      <c r="BC95" s="62">
        <v>37.44</v>
      </c>
      <c r="BD95" s="62">
        <v>39.47</v>
      </c>
      <c r="BE95" s="62">
        <v>39.590000000000003</v>
      </c>
      <c r="BF95" s="62">
        <v>39.68</v>
      </c>
      <c r="BG95" s="81">
        <v>40.6</v>
      </c>
      <c r="BH95" s="62">
        <v>40</v>
      </c>
      <c r="BI95" s="62">
        <v>40.01</v>
      </c>
      <c r="BJ95" s="62" cm="1">
        <f t="array" aca="1" ref="BJ95" ca="1">_FV(EH95,"Preço")</f>
        <v>39.450000000000003</v>
      </c>
      <c r="BK95" s="85" t="s">
        <v>92</v>
      </c>
      <c r="BL95" s="44" cm="1">
        <f t="array" aca="1" ref="BL95" ca="1">_FV(EH95,"Média de volume",TRUE)</f>
        <v>11530</v>
      </c>
      <c r="BM95" s="44">
        <v>14700</v>
      </c>
      <c r="BN95" s="44" cm="1">
        <f t="array" aca="1" ref="BN95" ca="1">_FV(EH95,"Volume")</f>
        <v>5700</v>
      </c>
      <c r="BO95" s="32" cm="1">
        <f t="array" aca="1" ref="BO95" ca="1">_FV(EH95,"Beta")</f>
        <v>8.5199999999999998E-2</v>
      </c>
      <c r="BP95" s="86" cm="1">
        <f t="array" aca="1" ref="BP95" ca="1">_FV(EH95,"Variação (%)",TRUE)</f>
        <v>-1.3996999999999999E-2</v>
      </c>
      <c r="BQ95" s="71"/>
      <c r="BR95" s="71"/>
      <c r="BT95" s="20" cm="1">
        <f t="array" aca="1" ref="BT95" ca="1">_FV(EH95,"Baixo")</f>
        <v>39</v>
      </c>
      <c r="BU95" s="20" cm="1">
        <f t="array" aca="1" ref="BU95" ca="1">_FV(EH95,"Alto")</f>
        <v>39.75</v>
      </c>
      <c r="BV95" s="32"/>
      <c r="BW95" s="73">
        <f ca="1">SQRT(22.5*(BJ95/VLOOKUP(BK95,Fundamentus!A:U,3,FALSE))*(BJ95/VLOOKUP(BK95,Fundamentus!A:U,4,FALSE)))</f>
        <v>55.025683780271031</v>
      </c>
      <c r="BY95" s="72">
        <f t="shared" ca="1" si="90"/>
        <v>-1.3996500874781185E-2</v>
      </c>
      <c r="BZ95" s="8"/>
      <c r="CA95" s="71">
        <f t="shared" si="98"/>
        <v>26</v>
      </c>
      <c r="CB95" s="71">
        <f t="shared" si="91"/>
        <v>43.87</v>
      </c>
      <c r="CC95" s="71">
        <f t="shared" si="99"/>
        <v>35.970245901639338</v>
      </c>
      <c r="CD95" s="17"/>
      <c r="CE95" s="43">
        <f t="shared" si="96"/>
        <v>39.505564149070793</v>
      </c>
      <c r="CF95" s="18">
        <f>FORECAST("04/07/2025", BF95:BI95, $BF$5:$BI$5)</f>
        <v>40.169999999999987</v>
      </c>
      <c r="CG95" s="43">
        <f t="shared" si="97"/>
        <v>40.834435850929182</v>
      </c>
      <c r="CI95" s="17"/>
      <c r="CJ95" s="20">
        <f>CA95-2*(CB95-CM95)</f>
        <v>11.513333333333335</v>
      </c>
      <c r="CK95" s="20">
        <f>CM95-(CB95-CA95)</f>
        <v>18.756666666666668</v>
      </c>
      <c r="CL95" s="20">
        <f>2*CM95-CB95</f>
        <v>29.383333333333333</v>
      </c>
      <c r="CM95" s="48">
        <f>(CB95+CA95+BI95)/3</f>
        <v>36.626666666666665</v>
      </c>
      <c r="CN95" s="20">
        <f>2*CM95-CA95</f>
        <v>47.25333333333333</v>
      </c>
      <c r="CO95" s="20">
        <f>CM95+(CB95-CA95)</f>
        <v>54.496666666666663</v>
      </c>
      <c r="CP95" s="20">
        <f>CB95+2*(CM95-CA95)</f>
        <v>65.123333333333335</v>
      </c>
      <c r="CQ95" s="2" cm="1">
        <f t="array" aca="1" ref="CQ95" ca="1">MAX(_xlfn._xlws.FILTER(CJ95:CP95,CJ95:CP95&lt;BJ95))</f>
        <v>36.626666666666665</v>
      </c>
      <c r="CR95" s="2" cm="1">
        <f t="array" aca="1" ref="CR95" ca="1">MIN(_xlfn._xlws.FILTER($CJ95:$CP95,$CJ95:$CP95&gt;BJ95))</f>
        <v>47.25333333333333</v>
      </c>
      <c r="CS95" s="19">
        <f t="shared" ca="1" si="100"/>
        <v>0.29013469239170009</v>
      </c>
      <c r="CT95" s="23">
        <f t="shared" ca="1" si="101"/>
        <v>-0.14506734619585004</v>
      </c>
      <c r="CU95" s="23">
        <f t="shared" ca="1" si="102"/>
        <v>-9.6711564130566696E-2</v>
      </c>
      <c r="CV95" s="23">
        <f t="shared" ca="1" si="103"/>
        <v>-5.802693847834002E-2</v>
      </c>
      <c r="CW95" s="23">
        <f t="shared" ca="1" si="104"/>
        <v>-3.2237188043522234E-2</v>
      </c>
      <c r="CX95" s="23">
        <f t="shared" ca="1" si="105"/>
        <v>-1.7066746611276475E-2</v>
      </c>
      <c r="CY95" s="23">
        <f t="shared" ca="1" si="106"/>
        <v>-8.7919603755060634E-3</v>
      </c>
      <c r="CZ95" s="23">
        <f t="shared" ca="1" si="107"/>
        <v>-4.4636106521800016E-3</v>
      </c>
      <c r="DA95" s="24">
        <f t="shared" ca="1" si="108"/>
        <v>4.4636106521800016E-3</v>
      </c>
      <c r="DB95" s="24">
        <f t="shared" ca="1" si="109"/>
        <v>8.7919603755060634E-3</v>
      </c>
      <c r="DC95" s="24">
        <f t="shared" ca="1" si="110"/>
        <v>1.7066746611276475E-2</v>
      </c>
      <c r="DD95" s="24">
        <f t="shared" ca="1" si="111"/>
        <v>3.2237188043522234E-2</v>
      </c>
      <c r="DE95" s="24">
        <f t="shared" ca="1" si="112"/>
        <v>5.802693847834002E-2</v>
      </c>
      <c r="DF95" s="24">
        <f t="shared" ca="1" si="113"/>
        <v>9.6711564130566696E-2</v>
      </c>
      <c r="DG95" s="24">
        <f t="shared" ca="1" si="114"/>
        <v>0.14506734619585004</v>
      </c>
      <c r="DI95" s="19" cm="1">
        <f t="array" aca="1" ref="DI95" ca="1">MAX(_xlfn._xlws.FILTER(CT95:DG95,CT95:DG95&lt;BP95))</f>
        <v>-1.7066746611276475E-2</v>
      </c>
      <c r="DJ95" s="19" cm="1">
        <f t="array" aca="1" ref="DJ95" ca="1">MIN(_xlfn._xlws.FILTER(CT95:DG95,CT95:DG95&gt;BP95))</f>
        <v>-8.7919603755060634E-3</v>
      </c>
      <c r="DK95" s="2" cm="1">
        <f t="array" aca="1" ref="DK95" ca="1">_FV(EH95,"Fechamento anterior",TRUE)</f>
        <v>40.01</v>
      </c>
      <c r="DL95" s="36">
        <f ca="1">(BJ95-DM95)/(DN95-DM95)</f>
        <v>0.37103625991245071</v>
      </c>
      <c r="DM95" s="18">
        <f t="shared" ca="1" si="115"/>
        <v>39.327159468082826</v>
      </c>
      <c r="DN95" s="18">
        <f t="shared" ca="1" si="116"/>
        <v>39.658233665376002</v>
      </c>
      <c r="DO95" s="9"/>
      <c r="DP95" s="9"/>
      <c r="DQ95" s="94">
        <v>4.6877452891168391E-3</v>
      </c>
      <c r="DR95" s="94">
        <v>8.9618659938998368E-3</v>
      </c>
      <c r="DS95" s="94">
        <v>8.3829148733647676E-3</v>
      </c>
      <c r="DT95" s="94">
        <f t="shared" ca="1" si="92"/>
        <v>8.2747862357704111E-3</v>
      </c>
      <c r="DU95" s="87">
        <f ca="1">(BJ95-CF95)/(CF95-CE95)</f>
        <v>-1.083626055085807</v>
      </c>
      <c r="DV95" s="46"/>
      <c r="DW95" s="43">
        <f>_xlfn.STDEV.P(BF95:BI95)</f>
        <v>0.33221792546459694</v>
      </c>
      <c r="DX95" s="76">
        <f ca="1">BO95-$DT$2</f>
        <v>-0.91190000000000015</v>
      </c>
      <c r="DY95" s="76">
        <f ca="1">BO95-BP95*100</f>
        <v>1.4848999999999999</v>
      </c>
      <c r="DZ95" s="101"/>
      <c r="EA95" s="100">
        <v>0.94930000000000003</v>
      </c>
      <c r="EB95" s="107">
        <v>-2.9955999999999996</v>
      </c>
      <c r="EC95" s="107">
        <v>3.9950999999999999</v>
      </c>
      <c r="ED95" s="98">
        <f t="shared" ca="1" si="93"/>
        <v>-2.3967999999999998</v>
      </c>
      <c r="EE95" s="66"/>
      <c r="EF95" s="66"/>
      <c r="EH95" s="2" t="e" vm="95">
        <v>#VALUE!</v>
      </c>
      <c r="EJ95" s="10" cm="1">
        <f t="array" aca="1" ref="EJ95" ca="1">_FV(EH95,"Ações em circulação",TRUE)</f>
        <v>104831600</v>
      </c>
      <c r="EK95" s="21">
        <f>VLOOKUP(BK95,Fundamentus!A:U,5,FALSE)</f>
        <v>0</v>
      </c>
      <c r="EL95" s="2" t="e">
        <f ca="1">(BJ95*EJ95)/EK95</f>
        <v>#DIV/0!</v>
      </c>
      <c r="EM95" s="20" t="e">
        <v>#DIV/0!</v>
      </c>
      <c r="EN95" s="20" t="e">
        <f t="shared" ca="1" si="94"/>
        <v>#DIV/0!</v>
      </c>
      <c r="EP95" s="19" t="e">
        <f t="shared" ca="1" si="89"/>
        <v>#DIV/0!</v>
      </c>
      <c r="EQ95" s="40" t="str">
        <f>IF(VLOOKUP(BK95,Fundamentus!A:U,3,FALSE)&lt;15,"Bom",IF(VLOOKUP(BK95,Fundamentus!A:U,3,FALSE)&gt;15,"Ruim","n/a"))</f>
        <v>Bom</v>
      </c>
      <c r="ER95" s="36" t="str">
        <f>IF(VLOOKUP(BK95,Fundamentus!A:U,4,FALSE)&lt;1,"Baixo",IF(VLOOKUP(BK95,Fundamentus!A:U,4,FALSE)&lt;1.5,"Moderado",IF(VLOOKUP(BK95,Fundamentus!A:U,4,FALSE)&gt;1.5,"Alto","n/a")))</f>
        <v>Alto</v>
      </c>
      <c r="ES95" s="20" t="str">
        <f>IF(VLOOKUP(BK95,Fundamentus!A:U,8,FALSE)&lt;0,"Risco elevado",IF(VLOOKUP(BK95,Fundamentus!A:U,8,FALSE)&lt;1,"Saudável",IF(VLOOKUP(BK95,Fundamentus!A:U,8,FALSE)&lt;3,"Estável",IF(VLOOKUP(BK95,Fundamentus!A:U,8,FALSE)&gt;3,"Alerta","n/a"))))</f>
        <v>Saudável</v>
      </c>
      <c r="ET95" s="36" t="str">
        <f t="shared" si="95"/>
        <v>Ruim</v>
      </c>
      <c r="EU95" s="20" t="str">
        <f>IF(VLOOKUP(BK95,Fundamentus!A:U,12,FALSE)&lt;2,"Subvalorizada",IF(VLOOKUP(BK95,Fundamentus!A:U,12,FALSE)&lt;6,"Muita barata",IF(VLOOKUP(BK95,Fundamentus!A:U,12,FALSE)&lt;6,"Barata",IF(VLOOKUP(BK95,Fundamentus!A:U,12,FALSE)&lt;8,"Atrativa",IF(VLOOKUP(BK95,Fundamentus!A:U,12,FALSE)&gt;8,"Supervalorizada","n/a")))))</f>
        <v>Subvalorizada</v>
      </c>
      <c r="EW95" s="20" t="str">
        <f>IF(VLOOKUP(BK95,Fundamentus!A:U,17,FALSE)&lt;0.1,"Fraco retorno",IF(VLOOKUP(BK95,Fundamentus!A:U,17,FALSE)&gt;0.1,"Bom retorno","n/a"))</f>
        <v>Bom retorno</v>
      </c>
      <c r="EX95" s="20" t="str">
        <f>IF(VLOOKUP(BK95,Fundamentus!A:U,16,FALSE)&lt;0.1,"Ineficiente",IF(VLOOKUP(BK95,Fundamentus!A:U,16,FALSE)&gt;0.1,"Eficiente","n/a"))</f>
        <v>Ineficiente</v>
      </c>
      <c r="EY95" s="41" t="str">
        <f>IF(VLOOKUP(BK95,Fundamentus!A:U,16,FALSE)&lt;0.1,"Oper. Ineficiente",IF(VLOOKUP(BK95,Fundamentus!A:U,16,FALSE)&gt;0.1,"Oper.Eficiente","n/a"))</f>
        <v>Oper. Ineficiente</v>
      </c>
      <c r="EZ95" s="42">
        <f>VLOOKUP(BK95,Fundamentus!A:U,14,FALSE)</f>
        <v>0</v>
      </c>
      <c r="FA95" s="20" t="str">
        <f>IF(VLOOKUP(BK95,Fundamentus!A:U,21,FALSE)&lt;0,"Negativo",IF(VLOOKUP(BK95,Fundamentus!A:U,21,FALSE)&lt;0.05,"Fraco",IF(VLOOKUP(BK95,Fundamentus!A:U,21,FALSE)&lt;0.1,"Bom",IF(VLOOKUP(BK95,Fundamentus!A:U,21,FALSE)&gt;0.1,"Muito bom","n/a"))))</f>
        <v>Muito bom</v>
      </c>
      <c r="FC95" s="37" t="str">
        <f>IF(VLOOKUP(BK95,Fundamentus!A:U,15,FALSE)&gt;1,"Bom",IF(VLOOKUP(BK95,Fundamentus!A:U,15,FALSE)&lt;1,"Ruim","n/a"))</f>
        <v>Ruim</v>
      </c>
      <c r="FD95" s="20" t="str">
        <f>IF(VLOOKUP(BK95,Fundamentus!A:U,20,FALSE)&lt;0.5,"Baixa",IF(VLOOKUP(BK95,Fundamentus!A:U,20,FALSE)&lt;1,"Moderada",IF(VLOOKUP(BK95,Fundamentus!A:U,20,FALSE)&lt;2,"Alerta",IF(VLOOKUP(BK95,Fundamentus!A:U,20,FALSE)&gt;2,"Alta","n/a"))))</f>
        <v>Baixa</v>
      </c>
      <c r="FE95" s="10"/>
    </row>
    <row r="96" spans="1:161" s="2" customFormat="1" ht="11.25" hidden="1"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8">
        <v>10.99</v>
      </c>
      <c r="BC96" s="62">
        <v>11.48</v>
      </c>
      <c r="BD96" s="62">
        <v>11.44</v>
      </c>
      <c r="BE96" s="62">
        <v>11.66</v>
      </c>
      <c r="BF96" s="62">
        <v>11.51</v>
      </c>
      <c r="BG96" s="81">
        <v>11.56</v>
      </c>
      <c r="BH96" s="62">
        <v>11.66</v>
      </c>
      <c r="BI96" s="62">
        <v>11.43</v>
      </c>
      <c r="BJ96" s="62" cm="1">
        <f t="array" aca="1" ref="BJ96" ca="1">_FV(EH96,"Preço")</f>
        <v>11.49</v>
      </c>
      <c r="BK96" s="83" t="s">
        <v>93</v>
      </c>
      <c r="BL96" s="44" cm="1">
        <f t="array" aca="1" ref="BL96" ca="1">_FV(EH96,"Média de volume",TRUE)</f>
        <v>12275230</v>
      </c>
      <c r="BM96" s="44">
        <v>7090900</v>
      </c>
      <c r="BN96" s="44" cm="1">
        <f t="array" aca="1" ref="BN96" ca="1">_FV(EH96,"Volume")</f>
        <v>2763100</v>
      </c>
      <c r="BO96" s="32" cm="1">
        <f t="array" aca="1" ref="BO96" ca="1">_FV(EH96,"Beta")</f>
        <v>0.85650000000000004</v>
      </c>
      <c r="BP96" s="86" cm="1">
        <f t="array" aca="1" ref="BP96" ca="1">_FV(EH96,"Variação (%)",TRUE)</f>
        <v>5.2490000000000002E-3</v>
      </c>
      <c r="BQ96" s="48"/>
      <c r="BR96" s="48"/>
      <c r="BT96" s="20" cm="1">
        <f t="array" aca="1" ref="BT96" ca="1">_FV(EH96,"Baixo")</f>
        <v>11.34</v>
      </c>
      <c r="BU96" s="20" cm="1">
        <f t="array" aca="1" ref="BU96" ca="1">_FV(EH96,"Alto")</f>
        <v>11.57</v>
      </c>
      <c r="BV96" s="32"/>
      <c r="BW96" s="73">
        <f ca="1">SQRT(22.5*(BJ96/VLOOKUP(BK96,Fundamentus!A:U,3,FALSE))*(BJ96/VLOOKUP(BK96,Fundamentus!A:U,4,FALSE)))</f>
        <v>13.915447987787884</v>
      </c>
      <c r="BY96" s="72">
        <f t="shared" ca="1" si="90"/>
        <v>5.2493438320210407E-3</v>
      </c>
      <c r="BZ96" s="8"/>
      <c r="CA96" s="71">
        <f t="shared" si="98"/>
        <v>7.93</v>
      </c>
      <c r="CB96" s="71">
        <f t="shared" si="91"/>
        <v>11.66</v>
      </c>
      <c r="CC96" s="71">
        <f t="shared" si="99"/>
        <v>9.2347540983606553</v>
      </c>
      <c r="CD96" s="17"/>
      <c r="CE96" s="43">
        <f t="shared" si="96"/>
        <v>11.338266679994678</v>
      </c>
      <c r="CF96" s="18">
        <f>FORECAST("04/07/2025", BF96:BI96, $BF$5:$BI$5)</f>
        <v>11.50500000000001</v>
      </c>
      <c r="CG96" s="43">
        <f t="shared" si="97"/>
        <v>11.671733320005341</v>
      </c>
      <c r="CI96" s="17"/>
      <c r="CJ96" s="20">
        <f>CA96-2*(CB96-CM96)</f>
        <v>5.2899999999999991</v>
      </c>
      <c r="CK96" s="20">
        <f>CM96-(CB96-CA96)</f>
        <v>6.6099999999999994</v>
      </c>
      <c r="CL96" s="20">
        <f>2*CM96-CB96</f>
        <v>9.02</v>
      </c>
      <c r="CM96" s="48">
        <f>(CB96+CA96+BI96)/3</f>
        <v>10.34</v>
      </c>
      <c r="CN96" s="20">
        <f>2*CM96-CA96</f>
        <v>12.75</v>
      </c>
      <c r="CO96" s="20">
        <f>CM96+(CB96-CA96)</f>
        <v>14.07</v>
      </c>
      <c r="CP96" s="20">
        <f>CB96+2*(CM96-CA96)</f>
        <v>16.48</v>
      </c>
      <c r="CQ96" s="2" cm="1">
        <f t="array" aca="1" ref="CQ96" ca="1">MAX(_xlfn._xlws.FILTER(CJ96:CP96,CJ96:CP96&lt;BJ96))</f>
        <v>10.34</v>
      </c>
      <c r="CR96" s="2" cm="1">
        <f t="array" aca="1" ref="CR96" ca="1">MIN(_xlfn._xlws.FILTER($CJ96:$CP96,$CJ96:$CP96&gt;BJ96))</f>
        <v>12.75</v>
      </c>
      <c r="CS96" s="19">
        <f t="shared" ca="1" si="100"/>
        <v>0.23307543520309482</v>
      </c>
      <c r="CT96" s="23">
        <f t="shared" ca="1" si="101"/>
        <v>-0.11653771760154741</v>
      </c>
      <c r="CU96" s="23">
        <f t="shared" ca="1" si="102"/>
        <v>-7.7691811734364943E-2</v>
      </c>
      <c r="CV96" s="23">
        <f t="shared" ca="1" si="103"/>
        <v>-4.6615087040618966E-2</v>
      </c>
      <c r="CW96" s="23">
        <f t="shared" ca="1" si="104"/>
        <v>-2.5897270578121648E-2</v>
      </c>
      <c r="CX96" s="23">
        <f t="shared" ca="1" si="105"/>
        <v>-1.3710319717829107E-2</v>
      </c>
      <c r="CY96" s="23">
        <f t="shared" ca="1" si="106"/>
        <v>-7.062891975851358E-3</v>
      </c>
      <c r="CZ96" s="23">
        <f t="shared" ca="1" si="107"/>
        <v>-3.5857759262014587E-3</v>
      </c>
      <c r="DA96" s="24">
        <f t="shared" ca="1" si="108"/>
        <v>3.5857759262014587E-3</v>
      </c>
      <c r="DB96" s="24">
        <f t="shared" ca="1" si="109"/>
        <v>7.062891975851358E-3</v>
      </c>
      <c r="DC96" s="24">
        <f t="shared" ca="1" si="110"/>
        <v>1.3710319717829107E-2</v>
      </c>
      <c r="DD96" s="24">
        <f t="shared" ca="1" si="111"/>
        <v>2.5897270578121648E-2</v>
      </c>
      <c r="DE96" s="24">
        <f t="shared" ca="1" si="112"/>
        <v>4.6615087040618966E-2</v>
      </c>
      <c r="DF96" s="24">
        <f t="shared" ca="1" si="113"/>
        <v>7.7691811734364943E-2</v>
      </c>
      <c r="DG96" s="24">
        <f t="shared" ca="1" si="114"/>
        <v>0.11653771760154741</v>
      </c>
      <c r="DI96" s="19" cm="1">
        <f t="array" aca="1" ref="DI96" ca="1">MAX(_xlfn._xlws.FILTER(CT96:DG96,CT96:DG96&lt;BP96))</f>
        <v>3.5857759262014587E-3</v>
      </c>
      <c r="DJ96" s="19" cm="1">
        <f t="array" aca="1" ref="DJ96" ca="1">MIN(_xlfn._xlws.FILTER(CT96:DG96,CT96:DG96&gt;BP96))</f>
        <v>7.062891975851358E-3</v>
      </c>
      <c r="DK96" s="2" cm="1">
        <f t="array" aca="1" ref="DK96" ca="1">_FV(EH96,"Fechamento anterior",TRUE)</f>
        <v>11.43</v>
      </c>
      <c r="DL96" s="36">
        <f ca="1">(BJ96-DM96)/(DN96-DM96)</f>
        <v>0.47843324239553903</v>
      </c>
      <c r="DM96" s="18">
        <f t="shared" ca="1" si="115"/>
        <v>11.470985418836483</v>
      </c>
      <c r="DN96" s="18">
        <f t="shared" ca="1" si="116"/>
        <v>11.510728855283981</v>
      </c>
      <c r="DO96" s="9"/>
      <c r="DP96" s="9"/>
      <c r="DQ96" s="94">
        <v>2.9171591690422649E-3</v>
      </c>
      <c r="DR96" s="94">
        <v>2.9171591690422649E-3</v>
      </c>
      <c r="DS96" s="94">
        <v>7.2700333374490682E-3</v>
      </c>
      <c r="DT96" s="94">
        <f t="shared" ca="1" si="92"/>
        <v>3.4771160496498994E-3</v>
      </c>
      <c r="DU96" s="87">
        <f ca="1">(BJ96-CF96)/(CF96-CE96)</f>
        <v>-8.9964021585666382E-2</v>
      </c>
      <c r="DV96" s="46"/>
      <c r="DW96" s="43">
        <f>_xlfn.STDEV.P(BF96:BI96)</f>
        <v>8.336666000266553E-2</v>
      </c>
      <c r="DX96" s="76">
        <f ca="1">BO96-$DT$2</f>
        <v>-0.14060000000000006</v>
      </c>
      <c r="DY96" s="76">
        <f ca="1">BO96-BP96*100</f>
        <v>0.33160000000000001</v>
      </c>
      <c r="DZ96" s="101"/>
      <c r="EA96" s="100">
        <v>0.63770000000000016</v>
      </c>
      <c r="EB96" s="107">
        <v>-0.27840000000000042</v>
      </c>
      <c r="EC96" s="107">
        <v>-1.4541999999999999</v>
      </c>
      <c r="ED96" s="98">
        <f t="shared" ca="1" si="93"/>
        <v>-0.47220000000000006</v>
      </c>
      <c r="EE96" s="66"/>
      <c r="EF96" s="66"/>
      <c r="EH96" s="2" t="e" vm="96">
        <v>#VALUE!</v>
      </c>
      <c r="EJ96" s="10" cm="1">
        <f t="array" aca="1" ref="EJ96" ca="1">_FV(EH96,"Ações em circulação",TRUE)</f>
        <v>2982811000</v>
      </c>
      <c r="EK96" s="21">
        <f>VLOOKUP(BK96,Fundamentus!A:U,5,FALSE)</f>
        <v>1.4910000000000001</v>
      </c>
      <c r="EL96" s="2">
        <f ca="1">(BJ96*EJ96)/EK96</f>
        <v>22986249758.551308</v>
      </c>
      <c r="EM96" s="20">
        <v>2897149709.4507041</v>
      </c>
      <c r="EN96" s="20">
        <f t="shared" ca="1" si="94"/>
        <v>2912357844.4084511</v>
      </c>
      <c r="EP96" s="19">
        <f t="shared" ca="1" si="89"/>
        <v>5.2493438320211361E-3</v>
      </c>
      <c r="EQ96" s="40" t="str">
        <f>IF(VLOOKUP(BK96,Fundamentus!A:U,3,FALSE)&lt;15,"Bom",IF(VLOOKUP(BK96,Fundamentus!A:U,3,FALSE)&gt;15,"Ruim","n/a"))</f>
        <v>Bom</v>
      </c>
      <c r="ER96" s="36" t="str">
        <f>IF(VLOOKUP(BK96,Fundamentus!A:U,4,FALSE)&lt;1,"Baixo",IF(VLOOKUP(BK96,Fundamentus!A:U,4,FALSE)&lt;1.5,"Moderado",IF(VLOOKUP(BK96,Fundamentus!A:U,4,FALSE)&gt;1.5,"Alto","n/a")))</f>
        <v>Moderado</v>
      </c>
      <c r="ES96" s="20" t="str">
        <f>IF(VLOOKUP(BK96,Fundamentus!A:U,8,FALSE)&lt;0,"Risco elevado",IF(VLOOKUP(BK96,Fundamentus!A:U,8,FALSE)&lt;1,"Saudável",IF(VLOOKUP(BK96,Fundamentus!A:U,8,FALSE)&lt;3,"Estável",IF(VLOOKUP(BK96,Fundamentus!A:U,8,FALSE)&gt;3,"Alerta","n/a"))))</f>
        <v>Alerta</v>
      </c>
      <c r="ET96" s="36" t="str">
        <f t="shared" si="95"/>
        <v>Bom</v>
      </c>
      <c r="EU96" s="20" t="str">
        <f>IF(VLOOKUP(BK96,Fundamentus!A:U,12,FALSE)&lt;2,"Subvalorizada",IF(VLOOKUP(BK96,Fundamentus!A:U,12,FALSE)&lt;6,"Muita barata",IF(VLOOKUP(BK96,Fundamentus!A:U,12,FALSE)&lt;6,"Barata",IF(VLOOKUP(BK96,Fundamentus!A:U,12,FALSE)&lt;8,"Atrativa",IF(VLOOKUP(BK96,Fundamentus!A:U,12,FALSE)&gt;8,"Supervalorizada","n/a")))))</f>
        <v>Supervalorizada</v>
      </c>
      <c r="EW96" s="20" t="str">
        <f>IF(VLOOKUP(BK96,Fundamentus!A:U,17,FALSE)&lt;0.1,"Fraco retorno",IF(VLOOKUP(BK96,Fundamentus!A:U,17,FALSE)&gt;0.1,"Bom retorno","n/a"))</f>
        <v>Bom retorno</v>
      </c>
      <c r="EX96" s="20" t="str">
        <f>IF(VLOOKUP(BK96,Fundamentus!A:U,16,FALSE)&lt;0.1,"Ineficiente",IF(VLOOKUP(BK96,Fundamentus!A:U,16,FALSE)&gt;0.1,"Eficiente","n/a"))</f>
        <v>Ineficiente</v>
      </c>
      <c r="EY96" s="41" t="str">
        <f>IF(VLOOKUP(BK96,Fundamentus!A:U,16,FALSE)&lt;0.1,"Oper. Ineficiente",IF(VLOOKUP(BK96,Fundamentus!A:U,16,FALSE)&gt;0.1,"Oper.Eficiente","n/a"))</f>
        <v>Oper. Ineficiente</v>
      </c>
      <c r="EZ96" s="42">
        <f>VLOOKUP(BK96,Fundamentus!A:U,14,FALSE)</f>
        <v>0.12670000000000001</v>
      </c>
      <c r="FA96" s="20" t="str">
        <f>IF(VLOOKUP(BK96,Fundamentus!A:U,21,FALSE)&lt;0,"Negativo",IF(VLOOKUP(BK96,Fundamentus!A:U,21,FALSE)&lt;0.05,"Fraco",IF(VLOOKUP(BK96,Fundamentus!A:U,21,FALSE)&lt;0.1,"Bom",IF(VLOOKUP(BK96,Fundamentus!A:U,21,FALSE)&gt;0.1,"Muito bom","n/a"))))</f>
        <v>Fraco</v>
      </c>
      <c r="FC96" s="37" t="str">
        <f>IF(VLOOKUP(BK96,Fundamentus!A:U,15,FALSE)&gt;1,"Bom",IF(VLOOKUP(BK96,Fundamentus!A:U,15,FALSE)&lt;1,"Ruim","n/a"))</f>
        <v>Bom</v>
      </c>
      <c r="FD96" s="20" t="str">
        <f>IF(VLOOKUP(BK96,Fundamentus!A:U,20,FALSE)&lt;0.5,"Baixa",IF(VLOOKUP(BK96,Fundamentus!A:U,20,FALSE)&lt;1,"Moderada",IF(VLOOKUP(BK96,Fundamentus!A:U,20,FALSE)&lt;2,"Alerta",IF(VLOOKUP(BK96,Fundamentus!A:U,20,FALSE)&gt;2,"Alta","n/a"))))</f>
        <v>Moderada</v>
      </c>
      <c r="FE96" s="10"/>
    </row>
    <row r="97" spans="1:161" s="2" customFormat="1" ht="11.25" hidden="1"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8">
        <v>33.03</v>
      </c>
      <c r="BC97" s="62">
        <v>34.19</v>
      </c>
      <c r="BD97" s="62">
        <v>33.479999999999997</v>
      </c>
      <c r="BE97" s="62">
        <v>32.909999999999997</v>
      </c>
      <c r="BF97" s="62">
        <v>31.57</v>
      </c>
      <c r="BG97" s="81">
        <v>34.979999999999997</v>
      </c>
      <c r="BH97" s="62">
        <v>35.909999999999997</v>
      </c>
      <c r="BI97" s="62">
        <v>33.799999999999997</v>
      </c>
      <c r="BJ97" s="62" cm="1">
        <f t="array" aca="1" ref="BJ97" ca="1">_FV(EH97,"Preço")</f>
        <v>34</v>
      </c>
      <c r="BK97" s="83" t="s">
        <v>94</v>
      </c>
      <c r="BL97" s="44" cm="1">
        <f t="array" aca="1" ref="BL97" ca="1">_FV(EH97,"Média de volume",TRUE)</f>
        <v>47111300</v>
      </c>
      <c r="BM97" s="44">
        <v>6179300</v>
      </c>
      <c r="BN97" s="44" cm="1">
        <f t="array" aca="1" ref="BN97" ca="1">_FV(EH97,"Volume")</f>
        <v>5834800</v>
      </c>
      <c r="BO97" s="32" cm="1">
        <f t="array" aca="1" ref="BO97" ca="1">_FV(EH97,"Beta")</f>
        <v>0.999</v>
      </c>
      <c r="BP97" s="86" cm="1">
        <f t="array" aca="1" ref="BP97" ca="1">_FV(EH97,"Variação (%)",TRUE)</f>
        <v>5.9170000000000004E-3</v>
      </c>
      <c r="BQ97" s="48"/>
      <c r="BR97" s="48"/>
      <c r="BT97" s="20" cm="1">
        <f t="array" aca="1" ref="BT97" ca="1">_FV(EH97,"Baixo")</f>
        <v>33.590000000000003</v>
      </c>
      <c r="BU97" s="20" cm="1">
        <f t="array" aca="1" ref="BU97" ca="1">_FV(EH97,"Alto")</f>
        <v>34.380000000000003</v>
      </c>
      <c r="BV97" s="32"/>
      <c r="BW97" s="73">
        <f ca="1">SQRT(22.5*(BJ97/VLOOKUP(BK97,Fundamentus!A:U,3,FALSE))*(BJ97/VLOOKUP(BK97,Fundamentus!A:U,4,FALSE)))</f>
        <v>49.345545574610341</v>
      </c>
      <c r="BY97" s="72">
        <f t="shared" ca="1" si="90"/>
        <v>5.9171597633136943E-3</v>
      </c>
      <c r="BZ97" s="8"/>
      <c r="CA97" s="71">
        <f t="shared" si="98"/>
        <v>31.57</v>
      </c>
      <c r="CB97" s="71">
        <f t="shared" si="91"/>
        <v>44.47</v>
      </c>
      <c r="CC97" s="71">
        <f t="shared" si="99"/>
        <v>38.934918032786896</v>
      </c>
      <c r="CD97" s="17"/>
      <c r="CE97" s="43">
        <f t="shared" si="96"/>
        <v>32.724002464572976</v>
      </c>
      <c r="CF97" s="18">
        <f>FORECAST("04/07/2025", BF97:BI97, $BF$5:$BI$5)</f>
        <v>35.970000000000255</v>
      </c>
      <c r="CG97" s="43">
        <f t="shared" si="97"/>
        <v>39.215997535427533</v>
      </c>
      <c r="CI97" s="17"/>
      <c r="CJ97" s="20">
        <f>CA97-2*(CB97-CM97)</f>
        <v>15.856666666666662</v>
      </c>
      <c r="CK97" s="20">
        <f>CM97-(CB97-CA97)</f>
        <v>23.713333333333331</v>
      </c>
      <c r="CL97" s="20">
        <f>2*CM97-CB97</f>
        <v>28.756666666666661</v>
      </c>
      <c r="CM97" s="48">
        <f>(CB97+CA97+BI97)/3</f>
        <v>36.61333333333333</v>
      </c>
      <c r="CN97" s="20">
        <f>2*CM97-CA97</f>
        <v>41.656666666666659</v>
      </c>
      <c r="CO97" s="20">
        <f>CM97+(CB97-CA97)</f>
        <v>49.513333333333328</v>
      </c>
      <c r="CP97" s="20">
        <f>CB97+2*(CM97-CA97)</f>
        <v>54.556666666666658</v>
      </c>
      <c r="CQ97" s="2" cm="1">
        <f t="array" aca="1" ref="CQ97" ca="1">MAX(_xlfn._xlws.FILTER(CJ97:CP97,CJ97:CP97&lt;BJ97))</f>
        <v>28.756666666666661</v>
      </c>
      <c r="CR97" s="2" cm="1">
        <f t="array" aca="1" ref="CR97" ca="1">MIN(_xlfn._xlws.FILTER($CJ97:$CP97,$CJ97:$CP97&gt;BJ97))</f>
        <v>36.61333333333333</v>
      </c>
      <c r="CS97" s="19">
        <f t="shared" ca="1" si="100"/>
        <v>0.27321200880955154</v>
      </c>
      <c r="CT97" s="23">
        <f t="shared" ca="1" si="101"/>
        <v>-0.13660600440477577</v>
      </c>
      <c r="CU97" s="23">
        <f t="shared" ca="1" si="102"/>
        <v>-9.1070669603183843E-2</v>
      </c>
      <c r="CV97" s="23">
        <f t="shared" ca="1" si="103"/>
        <v>-5.4642401761910306E-2</v>
      </c>
      <c r="CW97" s="23">
        <f t="shared" ca="1" si="104"/>
        <v>-3.035688986772795E-2</v>
      </c>
      <c r="CX97" s="23">
        <f t="shared" ca="1" si="105"/>
        <v>-1.6071294635855972E-2</v>
      </c>
      <c r="CY97" s="23">
        <f t="shared" ca="1" si="106"/>
        <v>-8.2791517821076219E-3</v>
      </c>
      <c r="CZ97" s="23">
        <f t="shared" ca="1" si="107"/>
        <v>-4.2032616739931007E-3</v>
      </c>
      <c r="DA97" s="24">
        <f t="shared" ca="1" si="108"/>
        <v>4.2032616739931007E-3</v>
      </c>
      <c r="DB97" s="24">
        <f t="shared" ca="1" si="109"/>
        <v>8.2791517821076219E-3</v>
      </c>
      <c r="DC97" s="24">
        <f t="shared" ca="1" si="110"/>
        <v>1.6071294635855972E-2</v>
      </c>
      <c r="DD97" s="24">
        <f t="shared" ca="1" si="111"/>
        <v>3.035688986772795E-2</v>
      </c>
      <c r="DE97" s="24">
        <f t="shared" ca="1" si="112"/>
        <v>5.4642401761910306E-2</v>
      </c>
      <c r="DF97" s="24">
        <f t="shared" ca="1" si="113"/>
        <v>9.1070669603183843E-2</v>
      </c>
      <c r="DG97" s="24">
        <f t="shared" ca="1" si="114"/>
        <v>0.13660600440477577</v>
      </c>
      <c r="DI97" s="19" cm="1">
        <f t="array" aca="1" ref="DI97" ca="1">MAX(_xlfn._xlws.FILTER(CT97:DG97,CT97:DG97&lt;BP97))</f>
        <v>4.2032616739931007E-3</v>
      </c>
      <c r="DJ97" s="19" cm="1">
        <f t="array" aca="1" ref="DJ97" ca="1">MIN(_xlfn._xlws.FILTER(CT97:DG97,CT97:DG97&gt;BP97))</f>
        <v>8.2791517821076219E-3</v>
      </c>
      <c r="DK97" s="2" cm="1">
        <f t="array" aca="1" ref="DK97" ca="1">_FV(EH97,"Fechamento anterior",TRUE)</f>
        <v>33.799999999999997</v>
      </c>
      <c r="DL97" s="36">
        <f ca="1">(BJ97-DM97)/(DN97-DM97)</f>
        <v>0.42049663849094587</v>
      </c>
      <c r="DM97" s="18">
        <f t="shared" ca="1" si="115"/>
        <v>33.942070244580961</v>
      </c>
      <c r="DN97" s="18">
        <f t="shared" ca="1" si="116"/>
        <v>34.079835330235234</v>
      </c>
      <c r="DO97" s="9"/>
      <c r="DP97" s="9"/>
      <c r="DQ97" s="94">
        <v>7.8539285105632597E-3</v>
      </c>
      <c r="DR97" s="94">
        <v>8.3890163730039116E-3</v>
      </c>
      <c r="DS97" s="94">
        <v>1.3209059621441579E-2</v>
      </c>
      <c r="DT97" s="94">
        <f t="shared" ca="1" si="92"/>
        <v>4.0758901081145212E-3</v>
      </c>
      <c r="DU97" s="87">
        <f ca="1">(BJ97-CF97)/(CF97-CE97)</f>
        <v>-0.60690126178451909</v>
      </c>
      <c r="DV97" s="46"/>
      <c r="DW97" s="43">
        <f>_xlfn.STDEV.P(BF97:BI97)</f>
        <v>1.6229987677136406</v>
      </c>
      <c r="DX97" s="76">
        <f ca="1">BO97-$DT$2</f>
        <v>1.8999999999999018E-3</v>
      </c>
      <c r="DY97" s="76">
        <f ca="1">BO97-BP97*100</f>
        <v>0.4073</v>
      </c>
      <c r="DZ97" s="101"/>
      <c r="EA97" s="100">
        <v>3.2483000000000004</v>
      </c>
      <c r="EB97" s="107">
        <v>1.1305999999999998</v>
      </c>
      <c r="EC97" s="107">
        <v>-1.0465</v>
      </c>
      <c r="ED97" s="98">
        <f t="shared" ca="1" si="93"/>
        <v>-0.40540000000000009</v>
      </c>
      <c r="EE97" s="66"/>
      <c r="EF97" s="66"/>
      <c r="EH97" s="2" t="e" vm="97">
        <v>#VALUE!</v>
      </c>
      <c r="EJ97" s="10" cm="1">
        <f t="array" aca="1" ref="EJ97" ca="1">_FV(EH97,"Ações em circulação",TRUE)</f>
        <v>12888730000</v>
      </c>
      <c r="EK97" s="21">
        <f>VLOOKUP(BK97,Fundamentus!A:U,5,FALSE)</f>
        <v>0.90900000000000003</v>
      </c>
      <c r="EL97" s="2">
        <f ca="1">(BJ97*EJ97)/EK97</f>
        <v>482086710671.06708</v>
      </c>
      <c r="EM97" s="20">
        <v>46870738654.785469</v>
      </c>
      <c r="EN97" s="20">
        <f t="shared" ca="1" si="94"/>
        <v>47148080303.630356</v>
      </c>
      <c r="EP97" s="19">
        <f t="shared" ca="1" si="89"/>
        <v>5.9171597633136397E-3</v>
      </c>
      <c r="EQ97" s="40" t="str">
        <f>IF(VLOOKUP(BK97,Fundamentus!A:U,3,FALSE)&lt;15,"Bom",IF(VLOOKUP(BK97,Fundamentus!A:U,3,FALSE)&gt;15,"Ruim","n/a"))</f>
        <v>Bom</v>
      </c>
      <c r="ER97" s="36" t="str">
        <f>IF(VLOOKUP(BK97,Fundamentus!A:U,4,FALSE)&lt;1,"Baixo",IF(VLOOKUP(BK97,Fundamentus!A:U,4,FALSE)&lt;1.5,"Moderado",IF(VLOOKUP(BK97,Fundamentus!A:U,4,FALSE)&gt;1.5,"Alto","n/a")))</f>
        <v>Moderado</v>
      </c>
      <c r="ES97" s="20" t="str">
        <f>IF(VLOOKUP(BK97,Fundamentus!A:U,8,FALSE)&lt;0,"Risco elevado",IF(VLOOKUP(BK97,Fundamentus!A:U,8,FALSE)&lt;1,"Saudável",IF(VLOOKUP(BK97,Fundamentus!A:U,8,FALSE)&lt;3,"Estável",IF(VLOOKUP(BK97,Fundamentus!A:U,8,FALSE)&gt;3,"Alerta","n/a"))))</f>
        <v>Risco elevado</v>
      </c>
      <c r="ET97" s="36" t="str">
        <f t="shared" si="95"/>
        <v>Ruim</v>
      </c>
      <c r="EU97" s="20" t="str">
        <f>IF(VLOOKUP(BK97,Fundamentus!A:U,12,FALSE)&lt;2,"Subvalorizada",IF(VLOOKUP(BK97,Fundamentus!A:U,12,FALSE)&lt;6,"Muita barata",IF(VLOOKUP(BK97,Fundamentus!A:U,12,FALSE)&lt;6,"Barata",IF(VLOOKUP(BK97,Fundamentus!A:U,12,FALSE)&lt;8,"Atrativa",IF(VLOOKUP(BK97,Fundamentus!A:U,12,FALSE)&gt;8,"Supervalorizada","n/a")))))</f>
        <v>Muita barata</v>
      </c>
      <c r="EW97" s="20" t="str">
        <f>IF(VLOOKUP(BK97,Fundamentus!A:U,17,FALSE)&lt;0.1,"Fraco retorno",IF(VLOOKUP(BK97,Fundamentus!A:U,17,FALSE)&gt;0.1,"Bom retorno","n/a"))</f>
        <v>Bom retorno</v>
      </c>
      <c r="EX97" s="20" t="str">
        <f>IF(VLOOKUP(BK97,Fundamentus!A:U,16,FALSE)&lt;0.1,"Ineficiente",IF(VLOOKUP(BK97,Fundamentus!A:U,16,FALSE)&gt;0.1,"Eficiente","n/a"))</f>
        <v>Eficiente</v>
      </c>
      <c r="EY97" s="41" t="str">
        <f>IF(VLOOKUP(BK97,Fundamentus!A:U,16,FALSE)&lt;0.1,"Oper. Ineficiente",IF(VLOOKUP(BK97,Fundamentus!A:U,16,FALSE)&gt;0.1,"Oper.Eficiente","n/a"))</f>
        <v>Oper.Eficiente</v>
      </c>
      <c r="EZ97" s="42">
        <f>VLOOKUP(BK97,Fundamentus!A:U,14,FALSE)</f>
        <v>9.7799999999999998E-2</v>
      </c>
      <c r="FA97" s="20" t="str">
        <f>IF(VLOOKUP(BK97,Fundamentus!A:U,21,FALSE)&lt;0,"Negativo",IF(VLOOKUP(BK97,Fundamentus!A:U,21,FALSE)&lt;0.05,"Fraco",IF(VLOOKUP(BK97,Fundamentus!A:U,21,FALSE)&lt;0.1,"Bom",IF(VLOOKUP(BK97,Fundamentus!A:U,21,FALSE)&gt;0.1,"Muito bom","n/a"))))</f>
        <v>Muito bom</v>
      </c>
      <c r="FC97" s="37" t="str">
        <f>IF(VLOOKUP(BK97,Fundamentus!A:U,15,FALSE)&gt;1,"Bom",IF(VLOOKUP(BK97,Fundamentus!A:U,15,FALSE)&lt;1,"Ruim","n/a"))</f>
        <v>Ruim</v>
      </c>
      <c r="FD97" s="20" t="str">
        <f>IF(VLOOKUP(BK97,Fundamentus!A:U,20,FALSE)&lt;0.5,"Baixa",IF(VLOOKUP(BK97,Fundamentus!A:U,20,FALSE)&lt;1,"Moderada",IF(VLOOKUP(BK97,Fundamentus!A:U,20,FALSE)&lt;2,"Alerta",IF(VLOOKUP(BK97,Fundamentus!A:U,20,FALSE)&gt;2,"Alta","n/a"))))</f>
        <v>Moderada</v>
      </c>
      <c r="FE97" s="10"/>
    </row>
    <row r="98" spans="1:161" s="2" customFormat="1" ht="11.25" hidden="1"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8">
        <v>13.4</v>
      </c>
      <c r="BC98" s="62">
        <v>13.4</v>
      </c>
      <c r="BD98" s="62">
        <v>13.53</v>
      </c>
      <c r="BE98" s="62">
        <v>13.98</v>
      </c>
      <c r="BF98" s="62">
        <v>13.78</v>
      </c>
      <c r="BG98" s="81">
        <v>14.11</v>
      </c>
      <c r="BH98" s="62">
        <v>14.29</v>
      </c>
      <c r="BI98" s="62">
        <v>14.28</v>
      </c>
      <c r="BJ98" s="62" cm="1">
        <f t="array" aca="1" ref="BJ98" ca="1">_FV(EH98,"Preço")</f>
        <v>14.39</v>
      </c>
      <c r="BK98" s="83" t="s">
        <v>95</v>
      </c>
      <c r="BL98" s="44" cm="1">
        <f t="array" aca="1" ref="BL98" ca="1">_FV(EH98,"Média de volume",TRUE)</f>
        <v>30720810</v>
      </c>
      <c r="BM98" s="44">
        <v>6459700</v>
      </c>
      <c r="BN98" s="44" cm="1">
        <f t="array" aca="1" ref="BN98" ca="1">_FV(EH98,"Volume")</f>
        <v>1941900</v>
      </c>
      <c r="BO98" s="32" cm="1">
        <f t="array" aca="1" ref="BO98" ca="1">_FV(EH98,"Beta")</f>
        <v>1.4864999999999999</v>
      </c>
      <c r="BP98" s="86" cm="1">
        <f t="array" aca="1" ref="BP98" ca="1">_FV(EH98,"Variação (%)",TRUE)</f>
        <v>7.7029999999999998E-3</v>
      </c>
      <c r="BQ98" s="48"/>
      <c r="BR98" s="48"/>
      <c r="BT98" s="20" cm="1">
        <f t="array" aca="1" ref="BT98" ca="1">_FV(EH98,"Baixo")</f>
        <v>14.18</v>
      </c>
      <c r="BU98" s="20" cm="1">
        <f t="array" aca="1" ref="BU98" ca="1">_FV(EH98,"Alto")</f>
        <v>14.45</v>
      </c>
      <c r="BV98" s="32"/>
      <c r="BW98" s="73">
        <f ca="1">SQRT(22.5*(BJ98/VLOOKUP(BK98,Fundamentus!A:U,3,FALSE))*(BJ98/VLOOKUP(BK98,Fundamentus!A:U,4,FALSE)))</f>
        <v>26.611062083909534</v>
      </c>
      <c r="BY98" s="72">
        <f t="shared" ca="1" si="90"/>
        <v>7.7030812324930817E-3</v>
      </c>
      <c r="BZ98" s="8"/>
      <c r="CA98" s="71">
        <f t="shared" si="98"/>
        <v>10.31</v>
      </c>
      <c r="CB98" s="71">
        <f t="shared" si="91"/>
        <v>14.29</v>
      </c>
      <c r="CC98" s="71">
        <f t="shared" si="99"/>
        <v>12.071639344262291</v>
      </c>
      <c r="CD98" s="17"/>
      <c r="CE98" s="43">
        <f t="shared" si="96"/>
        <v>14.122568187454057</v>
      </c>
      <c r="CF98" s="18">
        <f>FORECAST("04/07/2025", BF98:BI98, $BF$5:$BI$5)</f>
        <v>14.535000000000082</v>
      </c>
      <c r="CG98" s="43">
        <f t="shared" si="97"/>
        <v>14.947431812546107</v>
      </c>
      <c r="CI98" s="17"/>
      <c r="CJ98" s="20">
        <f>CA98-2*(CB98-CM98)</f>
        <v>7.6500000000000039</v>
      </c>
      <c r="CK98" s="20">
        <f>CM98-(CB98-CA98)</f>
        <v>8.9800000000000022</v>
      </c>
      <c r="CL98" s="20">
        <f>2*CM98-CB98</f>
        <v>11.630000000000003</v>
      </c>
      <c r="CM98" s="48">
        <f>(CB98+CA98+BI98)/3</f>
        <v>12.96</v>
      </c>
      <c r="CN98" s="20">
        <f>2*CM98-CA98</f>
        <v>15.610000000000001</v>
      </c>
      <c r="CO98" s="20">
        <f>CM98+(CB98-CA98)</f>
        <v>16.939999999999998</v>
      </c>
      <c r="CP98" s="20">
        <f>CB98+2*(CM98-CA98)</f>
        <v>19.59</v>
      </c>
      <c r="CQ98" s="2" cm="1">
        <f t="array" aca="1" ref="CQ98" ca="1">MAX(_xlfn._xlws.FILTER(CJ98:CP98,CJ98:CP98&lt;BJ98))</f>
        <v>12.96</v>
      </c>
      <c r="CR98" s="2" cm="1">
        <f t="array" aca="1" ref="CR98" ca="1">MIN(_xlfn._xlws.FILTER($CJ98:$CP98,$CJ98:$CP98&gt;BJ98))</f>
        <v>15.610000000000001</v>
      </c>
      <c r="CS98" s="19">
        <f t="shared" ca="1" si="100"/>
        <v>0.20447530864197527</v>
      </c>
      <c r="CT98" s="23">
        <f t="shared" ca="1" si="101"/>
        <v>-0.10223765432098764</v>
      </c>
      <c r="CU98" s="23">
        <f t="shared" ca="1" si="102"/>
        <v>-6.8158436213991758E-2</v>
      </c>
      <c r="CV98" s="23">
        <f t="shared" ca="1" si="103"/>
        <v>-4.0895061728395056E-2</v>
      </c>
      <c r="CW98" s="23">
        <f t="shared" ca="1" si="104"/>
        <v>-2.2719478737997251E-2</v>
      </c>
      <c r="CX98" s="23">
        <f t="shared" ca="1" si="105"/>
        <v>-1.2027959331880899E-2</v>
      </c>
      <c r="CY98" s="23">
        <f t="shared" ca="1" si="106"/>
        <v>-6.1962214739992505E-3</v>
      </c>
      <c r="CZ98" s="23">
        <f t="shared" ca="1" si="107"/>
        <v>-3.1457739791073119E-3</v>
      </c>
      <c r="DA98" s="24">
        <f t="shared" ca="1" si="108"/>
        <v>3.1457739791073119E-3</v>
      </c>
      <c r="DB98" s="24">
        <f t="shared" ca="1" si="109"/>
        <v>6.1962214739992505E-3</v>
      </c>
      <c r="DC98" s="24">
        <f t="shared" ca="1" si="110"/>
        <v>1.2027959331880899E-2</v>
      </c>
      <c r="DD98" s="24">
        <f t="shared" ca="1" si="111"/>
        <v>2.2719478737997251E-2</v>
      </c>
      <c r="DE98" s="24">
        <f t="shared" ca="1" si="112"/>
        <v>4.0895061728395056E-2</v>
      </c>
      <c r="DF98" s="24">
        <f t="shared" ca="1" si="113"/>
        <v>6.8158436213991758E-2</v>
      </c>
      <c r="DG98" s="24">
        <f t="shared" ca="1" si="114"/>
        <v>0.10223765432098764</v>
      </c>
      <c r="DI98" s="19" cm="1">
        <f t="array" aca="1" ref="DI98" ca="1">MAX(_xlfn._xlws.FILTER(CT98:DG98,CT98:DG98&lt;BP98))</f>
        <v>6.1962214739992505E-3</v>
      </c>
      <c r="DJ98" s="19" cm="1">
        <f t="array" aca="1" ref="DJ98" ca="1">MIN(_xlfn._xlws.FILTER(CT98:DG98,CT98:DG98&gt;BP98))</f>
        <v>1.2027959331880899E-2</v>
      </c>
      <c r="DK98" s="2" cm="1">
        <f t="array" aca="1" ref="DK98" ca="1">_FV(EH98,"Fechamento anterior",TRUE)</f>
        <v>14.28</v>
      </c>
      <c r="DL98" s="36">
        <f ca="1">(BJ98-DM98)/(DN98-DM98)</f>
        <v>0.25838948787064187</v>
      </c>
      <c r="DM98" s="18">
        <f t="shared" ca="1" si="115"/>
        <v>14.368482042648708</v>
      </c>
      <c r="DN98" s="18">
        <f t="shared" ca="1" si="116"/>
        <v>14.451759259259259</v>
      </c>
      <c r="DO98" s="9"/>
      <c r="DP98" s="9"/>
      <c r="DQ98" s="94">
        <v>4.6789035024329137E-3</v>
      </c>
      <c r="DR98" s="94">
        <v>5.0478170478170476E-3</v>
      </c>
      <c r="DS98" s="94">
        <v>1.0411483771827389E-2</v>
      </c>
      <c r="DT98" s="94">
        <f t="shared" ca="1" si="92"/>
        <v>5.8317378578816486E-3</v>
      </c>
      <c r="DU98" s="87">
        <f ca="1">(BJ98-CF98)/(CF98-CE98)</f>
        <v>-0.35157326760262986</v>
      </c>
      <c r="DV98" s="46"/>
      <c r="DW98" s="43">
        <f>_xlfn.STDEV.P(BF98:BI98)</f>
        <v>0.20621590627301276</v>
      </c>
      <c r="DX98" s="76">
        <f ca="1">BO98-$DT$2</f>
        <v>0.48939999999999984</v>
      </c>
      <c r="DY98" s="76">
        <f ca="1">BO98-BP98*100</f>
        <v>0.71619999999999995</v>
      </c>
      <c r="DZ98" s="101"/>
      <c r="EA98" s="100">
        <v>1.2033999999999998</v>
      </c>
      <c r="EB98" s="107">
        <v>-0.20639999999999992</v>
      </c>
      <c r="EC98" s="107">
        <v>-2.8699999999999948E-2</v>
      </c>
      <c r="ED98" s="98">
        <f t="shared" ca="1" si="93"/>
        <v>-0.22680000000000011</v>
      </c>
      <c r="EE98" s="66"/>
      <c r="EF98" s="66"/>
      <c r="EH98" s="2" t="e" vm="98">
        <v>#VALUE!</v>
      </c>
      <c r="EJ98" s="10" cm="1">
        <f t="array" aca="1" ref="EJ98" ca="1">_FV(EH98,"Ações em circulação",TRUE)</f>
        <v>10592010000</v>
      </c>
      <c r="EK98" s="21">
        <f>VLOOKUP(BK98,Fundamentus!A:U,5,FALSE)</f>
        <v>0</v>
      </c>
      <c r="EL98" s="2" t="e">
        <f ca="1">(BJ98*EJ98)/EK98</f>
        <v>#DIV/0!</v>
      </c>
      <c r="EM98" s="20" t="e">
        <v>#DIV/0!</v>
      </c>
      <c r="EN98" s="20" t="e">
        <f t="shared" ca="1" si="94"/>
        <v>#DIV/0!</v>
      </c>
      <c r="EP98" s="19" t="e">
        <f t="shared" ca="1" si="89"/>
        <v>#DIV/0!</v>
      </c>
      <c r="EQ98" s="40" t="str">
        <f>IF(VLOOKUP(BK98,Fundamentus!A:U,3,FALSE)&lt;15,"Bom",IF(VLOOKUP(BK98,Fundamentus!A:U,3,FALSE)&gt;15,"Ruim","n/a"))</f>
        <v>Bom</v>
      </c>
      <c r="ER98" s="36" t="str">
        <f>IF(VLOOKUP(BK98,Fundamentus!A:U,4,FALSE)&lt;1,"Baixo",IF(VLOOKUP(BK98,Fundamentus!A:U,4,FALSE)&lt;1.5,"Moderado",IF(VLOOKUP(BK98,Fundamentus!A:U,4,FALSE)&gt;1.5,"Alto","n/a")))</f>
        <v>Baixo</v>
      </c>
      <c r="ES98" s="20" t="str">
        <f>IF(VLOOKUP(BK98,Fundamentus!A:U,8,FALSE)&lt;0,"Risco elevado",IF(VLOOKUP(BK98,Fundamentus!A:U,8,FALSE)&lt;1,"Saudável",IF(VLOOKUP(BK98,Fundamentus!A:U,8,FALSE)&lt;3,"Estável",IF(VLOOKUP(BK98,Fundamentus!A:U,8,FALSE)&gt;3,"Alerta","n/a"))))</f>
        <v>Saudável</v>
      </c>
      <c r="ET98" s="36" t="str">
        <f t="shared" si="95"/>
        <v>Ruim</v>
      </c>
      <c r="EU98" s="20" t="str">
        <f>IF(VLOOKUP(BK98,Fundamentus!A:U,12,FALSE)&lt;2,"Subvalorizada",IF(VLOOKUP(BK98,Fundamentus!A:U,12,FALSE)&lt;6,"Muita barata",IF(VLOOKUP(BK98,Fundamentus!A:U,12,FALSE)&lt;6,"Barata",IF(VLOOKUP(BK98,Fundamentus!A:U,12,FALSE)&lt;8,"Atrativa",IF(VLOOKUP(BK98,Fundamentus!A:U,12,FALSE)&gt;8,"Supervalorizada","n/a")))))</f>
        <v>Subvalorizada</v>
      </c>
      <c r="EW98" s="20" t="str">
        <f>IF(VLOOKUP(BK98,Fundamentus!A:U,17,FALSE)&lt;0.1,"Fraco retorno",IF(VLOOKUP(BK98,Fundamentus!A:U,17,FALSE)&gt;0.1,"Bom retorno","n/a"))</f>
        <v>Bom retorno</v>
      </c>
      <c r="EX98" s="20" t="str">
        <f>IF(VLOOKUP(BK98,Fundamentus!A:U,16,FALSE)&lt;0.1,"Ineficiente",IF(VLOOKUP(BK98,Fundamentus!A:U,16,FALSE)&gt;0.1,"Eficiente","n/a"))</f>
        <v>Ineficiente</v>
      </c>
      <c r="EY98" s="41" t="str">
        <f>IF(VLOOKUP(BK98,Fundamentus!A:U,16,FALSE)&lt;0.1,"Oper. Ineficiente",IF(VLOOKUP(BK98,Fundamentus!A:U,16,FALSE)&gt;0.1,"Oper.Eficiente","n/a"))</f>
        <v>Oper. Ineficiente</v>
      </c>
      <c r="EZ98" s="42">
        <f>VLOOKUP(BK98,Fundamentus!A:U,14,FALSE)</f>
        <v>0</v>
      </c>
      <c r="FA98" s="20" t="str">
        <f>IF(VLOOKUP(BK98,Fundamentus!A:U,21,FALSE)&lt;0,"Negativo",IF(VLOOKUP(BK98,Fundamentus!A:U,21,FALSE)&lt;0.05,"Fraco",IF(VLOOKUP(BK98,Fundamentus!A:U,21,FALSE)&lt;0.1,"Bom",IF(VLOOKUP(BK98,Fundamentus!A:U,21,FALSE)&gt;0.1,"Muito bom","n/a"))))</f>
        <v>Negativo</v>
      </c>
      <c r="FC98" s="37" t="str">
        <f>IF(VLOOKUP(BK98,Fundamentus!A:U,15,FALSE)&gt;1,"Bom",IF(VLOOKUP(BK98,Fundamentus!A:U,15,FALSE)&lt;1,"Ruim","n/a"))</f>
        <v>Ruim</v>
      </c>
      <c r="FD98" s="20" t="str">
        <f>IF(VLOOKUP(BK98,Fundamentus!A:U,20,FALSE)&lt;0.5,"Baixa",IF(VLOOKUP(BK98,Fundamentus!A:U,20,FALSE)&lt;1,"Moderada",IF(VLOOKUP(BK98,Fundamentus!A:U,20,FALSE)&lt;2,"Alerta",IF(VLOOKUP(BK98,Fundamentus!A:U,20,FALSE)&gt;2,"Alta","n/a"))))</f>
        <v>Baixa</v>
      </c>
      <c r="FE98" s="10"/>
    </row>
    <row r="99" spans="1:161" s="2" customFormat="1" ht="11.25" hidden="1"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8">
        <v>6.79</v>
      </c>
      <c r="BC99" s="62">
        <v>7.18</v>
      </c>
      <c r="BD99" s="62">
        <v>6.95</v>
      </c>
      <c r="BE99" s="62">
        <v>7.25</v>
      </c>
      <c r="BF99" s="62">
        <v>7.33</v>
      </c>
      <c r="BG99" s="81">
        <v>7.58</v>
      </c>
      <c r="BH99" s="62">
        <v>7.57</v>
      </c>
      <c r="BI99" s="62">
        <v>7.89</v>
      </c>
      <c r="BJ99" s="62" cm="1">
        <f t="array" aca="1" ref="BJ99" ca="1">_FV(EH99,"Preço")</f>
        <v>7.98</v>
      </c>
      <c r="BK99" s="83" t="s">
        <v>96</v>
      </c>
      <c r="BL99" s="44" cm="1">
        <f t="array" aca="1" ref="BL99" ca="1">_FV(EH99,"Média de volume",TRUE)</f>
        <v>9552900</v>
      </c>
      <c r="BM99" s="44">
        <v>6936800</v>
      </c>
      <c r="BN99" s="44" cm="1">
        <f t="array" aca="1" ref="BN99" ca="1">_FV(EH99,"Volume")</f>
        <v>3812400</v>
      </c>
      <c r="BO99" s="32" cm="1">
        <f t="array" aca="1" ref="BO99" ca="1">_FV(EH99,"Beta")</f>
        <v>0.78510000000000002</v>
      </c>
      <c r="BP99" s="86" cm="1">
        <f t="array" aca="1" ref="BP99" ca="1">_FV(EH99,"Variação (%)",TRUE)</f>
        <v>1.1407E-2</v>
      </c>
      <c r="BQ99" s="48"/>
      <c r="BR99" s="48"/>
      <c r="BT99" s="20" cm="1">
        <f t="array" aca="1" ref="BT99" ca="1">_FV(EH99,"Baixo")</f>
        <v>7.9</v>
      </c>
      <c r="BU99" s="20" cm="1">
        <f t="array" aca="1" ref="BU99" ca="1">_FV(EH99,"Alto")</f>
        <v>8.09</v>
      </c>
      <c r="BV99" s="32"/>
      <c r="BW99" s="73">
        <f ca="1">SQRT(22.5*(BJ99/VLOOKUP(BK99,Fundamentus!A:U,3,FALSE))*(BJ99/VLOOKUP(BK99,Fundamentus!A:U,4,FALSE)))</f>
        <v>9.3147661247140086</v>
      </c>
      <c r="BY99" s="72">
        <f t="shared" ca="1" si="90"/>
        <v>1.1406844106463974E-2</v>
      </c>
      <c r="BZ99" s="8"/>
      <c r="CA99" s="71">
        <f t="shared" si="98"/>
        <v>6.02</v>
      </c>
      <c r="CB99" s="71">
        <f t="shared" si="91"/>
        <v>9.56</v>
      </c>
      <c r="CC99" s="71">
        <f t="shared" si="99"/>
        <v>7.4023770491803278</v>
      </c>
      <c r="CD99" s="17"/>
      <c r="CE99" s="43">
        <f t="shared" si="96"/>
        <v>7.6124135314173698</v>
      </c>
      <c r="CF99" s="18">
        <f>FORECAST("04/07/2025", BF99:BI99, $BF$5:$BI$5)</f>
        <v>8.0099999999999909</v>
      </c>
      <c r="CG99" s="43">
        <f t="shared" si="97"/>
        <v>8.4075864685826129</v>
      </c>
      <c r="CI99" s="17"/>
      <c r="CJ99" s="20">
        <f>CA99-2*(CB99-CM99)</f>
        <v>2.5466666666666651</v>
      </c>
      <c r="CK99" s="20">
        <f>CM99-(CB99-CA99)</f>
        <v>4.2833333333333323</v>
      </c>
      <c r="CL99" s="20">
        <f>2*CM99-CB99</f>
        <v>6.086666666666666</v>
      </c>
      <c r="CM99" s="48">
        <f>(CB99+CA99+BI99)/3</f>
        <v>7.8233333333333333</v>
      </c>
      <c r="CN99" s="20">
        <f>2*CM99-CA99</f>
        <v>9.6266666666666669</v>
      </c>
      <c r="CO99" s="20">
        <f>CM99+(CB99-CA99)</f>
        <v>11.363333333333333</v>
      </c>
      <c r="CP99" s="20">
        <f>CB99+2*(CM99-CA99)</f>
        <v>13.166666666666668</v>
      </c>
      <c r="CQ99" s="2" cm="1">
        <f t="array" aca="1" ref="CQ99" ca="1">MAX(_xlfn._xlws.FILTER(CJ99:CP99,CJ99:CP99&lt;BJ99))</f>
        <v>7.8233333333333333</v>
      </c>
      <c r="CR99" s="2" cm="1">
        <f t="array" aca="1" ref="CR99" ca="1">MIN(_xlfn._xlws.FILTER($CJ99:$CP99,$CJ99:$CP99&gt;BJ99))</f>
        <v>9.6266666666666669</v>
      </c>
      <c r="CS99" s="19">
        <f t="shared" ca="1" si="100"/>
        <v>0.23050703025138475</v>
      </c>
      <c r="CT99" s="23">
        <f t="shared" ca="1" si="101"/>
        <v>-0.11525351512569237</v>
      </c>
      <c r="CU99" s="23">
        <f t="shared" ca="1" si="102"/>
        <v>-7.6835676750461587E-2</v>
      </c>
      <c r="CV99" s="23">
        <f t="shared" ca="1" si="103"/>
        <v>-4.6101406050276947E-2</v>
      </c>
      <c r="CW99" s="23">
        <f t="shared" ca="1" si="104"/>
        <v>-2.561189225015386E-2</v>
      </c>
      <c r="CX99" s="23">
        <f t="shared" ca="1" si="105"/>
        <v>-1.3559237073610867E-2</v>
      </c>
      <c r="CY99" s="23">
        <f t="shared" ca="1" si="106"/>
        <v>-6.9850615227692349E-3</v>
      </c>
      <c r="CZ99" s="23">
        <f t="shared" ca="1" si="107"/>
        <v>-3.5462620038674577E-3</v>
      </c>
      <c r="DA99" s="24">
        <f t="shared" ca="1" si="108"/>
        <v>3.5462620038674577E-3</v>
      </c>
      <c r="DB99" s="24">
        <f t="shared" ca="1" si="109"/>
        <v>6.9850615227692349E-3</v>
      </c>
      <c r="DC99" s="24">
        <f t="shared" ca="1" si="110"/>
        <v>1.3559237073610867E-2</v>
      </c>
      <c r="DD99" s="24">
        <f t="shared" ca="1" si="111"/>
        <v>2.561189225015386E-2</v>
      </c>
      <c r="DE99" s="24">
        <f t="shared" ca="1" si="112"/>
        <v>4.6101406050276947E-2</v>
      </c>
      <c r="DF99" s="24">
        <f t="shared" ca="1" si="113"/>
        <v>7.6835676750461587E-2</v>
      </c>
      <c r="DG99" s="24">
        <f t="shared" ca="1" si="114"/>
        <v>0.11525351512569237</v>
      </c>
      <c r="DI99" s="19" cm="1">
        <f t="array" aca="1" ref="DI99" ca="1">MAX(_xlfn._xlws.FILTER(CT99:DG99,CT99:DG99&lt;BP99))</f>
        <v>6.9850615227692349E-3</v>
      </c>
      <c r="DJ99" s="19" cm="1">
        <f t="array" aca="1" ref="DJ99" ca="1">MIN(_xlfn._xlws.FILTER(CT99:DG99,CT99:DG99&gt;BP99))</f>
        <v>1.3559237073610867E-2</v>
      </c>
      <c r="DK99" s="2" cm="1">
        <f t="array" aca="1" ref="DK99" ca="1">_FV(EH99,"Fechamento anterior",TRUE)</f>
        <v>7.89</v>
      </c>
      <c r="DL99" s="36">
        <f ca="1">(BJ99-DM99)/(DN99-DM99)</f>
        <v>0.67259879957551028</v>
      </c>
      <c r="DM99" s="18">
        <f t="shared" ca="1" si="115"/>
        <v>7.9451121354146492</v>
      </c>
      <c r="DN99" s="18">
        <f t="shared" ca="1" si="116"/>
        <v>7.9969823805107891</v>
      </c>
      <c r="DO99" s="9"/>
      <c r="DP99" s="9"/>
      <c r="DQ99" s="94">
        <v>1.1291972839735848E-2</v>
      </c>
      <c r="DR99" s="94">
        <v>1.1291972839735848E-2</v>
      </c>
      <c r="DS99" s="94">
        <v>9.6284667713239184E-3</v>
      </c>
      <c r="DT99" s="94">
        <f t="shared" ca="1" si="92"/>
        <v>6.5741755508416325E-3</v>
      </c>
      <c r="DU99" s="87">
        <f ca="1">(BJ99-CF99)/(CF99-CE99)</f>
        <v>-7.5455284247824633E-2</v>
      </c>
      <c r="DV99" s="46"/>
      <c r="DW99" s="43">
        <f>_xlfn.STDEV.P(BF99:BI99)</f>
        <v>0.19879323429131068</v>
      </c>
      <c r="DX99" s="76">
        <f ca="1">BO99-$DT$2</f>
        <v>-0.21200000000000008</v>
      </c>
      <c r="DY99" s="76">
        <f ca="1">BO99-BP99*100</f>
        <v>-0.35560000000000003</v>
      </c>
      <c r="DZ99" s="101"/>
      <c r="EA99" s="100">
        <v>-0.74160000000000004</v>
      </c>
      <c r="EB99" s="107">
        <v>0.71629999999999994</v>
      </c>
      <c r="EC99" s="107">
        <v>1.8561999999999999</v>
      </c>
      <c r="ED99" s="98">
        <f t="shared" ca="1" si="93"/>
        <v>0.14359999999999995</v>
      </c>
      <c r="EE99" s="66"/>
      <c r="EF99" s="66"/>
      <c r="EH99" s="2" t="e" vm="99">
        <v>#VALUE!</v>
      </c>
      <c r="EJ99" s="10" cm="1">
        <f t="array" aca="1" ref="EJ99" ca="1">_FV(EH99,"Ações em circulação",TRUE)</f>
        <v>1136271000</v>
      </c>
      <c r="EK99" s="21">
        <f>VLOOKUP(BK99,Fundamentus!A:U,5,FALSE)</f>
        <v>1</v>
      </c>
      <c r="EL99" s="2">
        <f ca="1">(BJ99*EJ99)/EK99</f>
        <v>9067442580</v>
      </c>
      <c r="EM99" s="20">
        <v>1195058252.727</v>
      </c>
      <c r="EN99" s="20">
        <f t="shared" ca="1" si="94"/>
        <v>1208690095.914</v>
      </c>
      <c r="EP99" s="19">
        <f t="shared" ca="1" si="89"/>
        <v>1.1406844106463865E-2</v>
      </c>
      <c r="EQ99" s="40" t="str">
        <f>IF(VLOOKUP(BK99,Fundamentus!A:U,3,FALSE)&lt;15,"Bom",IF(VLOOKUP(BK99,Fundamentus!A:U,3,FALSE)&gt;15,"Ruim","n/a"))</f>
        <v>Bom</v>
      </c>
      <c r="ER99" s="36" t="str">
        <f>IF(VLOOKUP(BK99,Fundamentus!A:U,4,FALSE)&lt;1,"Baixo",IF(VLOOKUP(BK99,Fundamentus!A:U,4,FALSE)&lt;1.5,"Moderado",IF(VLOOKUP(BK99,Fundamentus!A:U,4,FALSE)&gt;1.5,"Alto","n/a")))</f>
        <v>Alto</v>
      </c>
      <c r="ES99" s="20" t="str">
        <f>IF(VLOOKUP(BK99,Fundamentus!A:U,8,FALSE)&lt;0,"Risco elevado",IF(VLOOKUP(BK99,Fundamentus!A:U,8,FALSE)&lt;1,"Saudável",IF(VLOOKUP(BK99,Fundamentus!A:U,8,FALSE)&lt;3,"Estável",IF(VLOOKUP(BK99,Fundamentus!A:U,8,FALSE)&gt;3,"Alerta","n/a"))))</f>
        <v>Alerta</v>
      </c>
      <c r="ET99" s="36" t="str">
        <f t="shared" si="95"/>
        <v>Ruim</v>
      </c>
      <c r="EU99" s="20" t="str">
        <f>IF(VLOOKUP(BK99,Fundamentus!A:U,12,FALSE)&lt;2,"Subvalorizada",IF(VLOOKUP(BK99,Fundamentus!A:U,12,FALSE)&lt;6,"Muita barata",IF(VLOOKUP(BK99,Fundamentus!A:U,12,FALSE)&lt;6,"Barata",IF(VLOOKUP(BK99,Fundamentus!A:U,12,FALSE)&lt;8,"Atrativa",IF(VLOOKUP(BK99,Fundamentus!A:U,12,FALSE)&gt;8,"Supervalorizada","n/a")))))</f>
        <v>Atrativa</v>
      </c>
      <c r="EW99" s="20" t="str">
        <f>IF(VLOOKUP(BK99,Fundamentus!A:U,17,FALSE)&lt;0.1,"Fraco retorno",IF(VLOOKUP(BK99,Fundamentus!A:U,17,FALSE)&gt;0.1,"Bom retorno","n/a"))</f>
        <v>Bom retorno</v>
      </c>
      <c r="EX99" s="20" t="str">
        <f>IF(VLOOKUP(BK99,Fundamentus!A:U,16,FALSE)&lt;0.1,"Ineficiente",IF(VLOOKUP(BK99,Fundamentus!A:U,16,FALSE)&gt;0.1,"Eficiente","n/a"))</f>
        <v>Eficiente</v>
      </c>
      <c r="EY99" s="41" t="str">
        <f>IF(VLOOKUP(BK99,Fundamentus!A:U,16,FALSE)&lt;0.1,"Oper. Ineficiente",IF(VLOOKUP(BK99,Fundamentus!A:U,16,FALSE)&gt;0.1,"Oper.Eficiente","n/a"))</f>
        <v>Oper.Eficiente</v>
      </c>
      <c r="EZ99" s="42">
        <f>VLOOKUP(BK99,Fundamentus!A:U,14,FALSE)</f>
        <v>0.1333</v>
      </c>
      <c r="FA99" s="20" t="str">
        <f>IF(VLOOKUP(BK99,Fundamentus!A:U,21,FALSE)&lt;0,"Negativo",IF(VLOOKUP(BK99,Fundamentus!A:U,21,FALSE)&lt;0.05,"Fraco",IF(VLOOKUP(BK99,Fundamentus!A:U,21,FALSE)&lt;0.1,"Bom",IF(VLOOKUP(BK99,Fundamentus!A:U,21,FALSE)&gt;0.1,"Muito bom","n/a"))))</f>
        <v>Muito bom</v>
      </c>
      <c r="FC99" s="37" t="str">
        <f>IF(VLOOKUP(BK99,Fundamentus!A:U,15,FALSE)&gt;1,"Bom",IF(VLOOKUP(BK99,Fundamentus!A:U,15,FALSE)&lt;1,"Ruim","n/a"))</f>
        <v>Bom</v>
      </c>
      <c r="FD99" s="20" t="str">
        <f>IF(VLOOKUP(BK99,Fundamentus!A:U,20,FALSE)&lt;0.5,"Baixa",IF(VLOOKUP(BK99,Fundamentus!A:U,20,FALSE)&lt;1,"Moderada",IF(VLOOKUP(BK99,Fundamentus!A:U,20,FALSE)&lt;2,"Alerta",IF(VLOOKUP(BK99,Fundamentus!A:U,20,FALSE)&gt;2,"Alta","n/a"))))</f>
        <v>Moderada</v>
      </c>
      <c r="FE99" s="10"/>
    </row>
    <row r="100" spans="1:161" s="2" customFormat="1" ht="11.25" hidden="1"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8">
        <v>52.74</v>
      </c>
      <c r="BC100" s="62">
        <v>55.45</v>
      </c>
      <c r="BD100" s="62">
        <v>54.32</v>
      </c>
      <c r="BE100" s="62">
        <v>52.1</v>
      </c>
      <c r="BF100" s="62">
        <v>52.98</v>
      </c>
      <c r="BG100" s="81">
        <v>52.13</v>
      </c>
      <c r="BH100" s="62">
        <v>49.92</v>
      </c>
      <c r="BI100" s="62">
        <v>53</v>
      </c>
      <c r="BJ100" s="62" cm="1">
        <f t="array" aca="1" ref="BJ100" ca="1">_FV(EH100,"Preço")</f>
        <v>52.83</v>
      </c>
      <c r="BK100" s="83" t="s">
        <v>97</v>
      </c>
      <c r="BL100" s="44" cm="1">
        <f t="array" aca="1" ref="BL100" ca="1">_FV(EH100,"Média de volume",TRUE)</f>
        <v>28291370</v>
      </c>
      <c r="BM100" s="44">
        <v>26177500</v>
      </c>
      <c r="BN100" s="44" cm="1">
        <f t="array" aca="1" ref="BN100" ca="1">_FV(EH100,"Volume")</f>
        <v>8419200</v>
      </c>
      <c r="BO100" s="32" cm="1">
        <f t="array" aca="1" ref="BO100" ca="1">_FV(EH100,"Beta")</f>
        <v>0.79559999999999997</v>
      </c>
      <c r="BP100" s="86" cm="1">
        <f t="array" aca="1" ref="BP100" ca="1">_FV(EH100,"Variação (%)",TRUE)</f>
        <v>-3.2079999999999999E-3</v>
      </c>
      <c r="BQ100" s="48"/>
      <c r="BR100" s="48"/>
      <c r="BT100" s="20" cm="1">
        <f t="array" aca="1" ref="BT100" ca="1">_FV(EH100,"Baixo")</f>
        <v>52.44</v>
      </c>
      <c r="BU100" s="20" cm="1">
        <f t="array" aca="1" ref="BU100" ca="1">_FV(EH100,"Alto")</f>
        <v>53.03</v>
      </c>
      <c r="BV100" s="32"/>
      <c r="BW100" s="73">
        <f ca="1">SQRT(22.5*(BJ100/VLOOKUP(BK100,Fundamentus!A:U,3,FALSE))*(BJ100/VLOOKUP(BK100,Fundamentus!A:U,4,FALSE)))</f>
        <v>84.483134472089361</v>
      </c>
      <c r="BY100" s="72">
        <f t="shared" ca="1" si="90"/>
        <v>-3.2075471698113527E-3</v>
      </c>
      <c r="BZ100" s="8"/>
      <c r="CA100" s="71">
        <f t="shared" si="98"/>
        <v>49.92</v>
      </c>
      <c r="CB100" s="71">
        <f t="shared" si="91"/>
        <v>66.180000000000007</v>
      </c>
      <c r="CC100" s="71">
        <f t="shared" si="99"/>
        <v>57.606229508196698</v>
      </c>
      <c r="CD100" s="17"/>
      <c r="CE100" s="43">
        <f t="shared" si="96"/>
        <v>48.959327779259141</v>
      </c>
      <c r="CF100" s="18">
        <f>FORECAST("04/07/2025", BF100:BI100, $BF$5:$BI$5)</f>
        <v>51.470000000000027</v>
      </c>
      <c r="CG100" s="43">
        <f t="shared" si="97"/>
        <v>53.980672220740914</v>
      </c>
      <c r="CI100" s="17"/>
      <c r="CJ100" s="20">
        <f>CA100-2*(CB100-CM100)</f>
        <v>30.293333333333337</v>
      </c>
      <c r="CK100" s="20">
        <f>CM100-(CB100-CA100)</f>
        <v>40.106666666666669</v>
      </c>
      <c r="CL100" s="20">
        <f>2*CM100-CB100</f>
        <v>46.553333333333342</v>
      </c>
      <c r="CM100" s="48">
        <f>(CB100+CA100+BI100)/3</f>
        <v>56.366666666666674</v>
      </c>
      <c r="CN100" s="20">
        <f>2*CM100-CA100</f>
        <v>62.813333333333347</v>
      </c>
      <c r="CO100" s="20">
        <f>CM100+(CB100-CA100)</f>
        <v>72.626666666666679</v>
      </c>
      <c r="CP100" s="20">
        <f>CB100+2*(CM100-CA100)</f>
        <v>79.073333333333352</v>
      </c>
      <c r="CQ100" s="2" cm="1">
        <f t="array" aca="1" ref="CQ100" ca="1">MAX(_xlfn._xlws.FILTER(CJ100:CP100,CJ100:CP100&lt;BJ100))</f>
        <v>46.553333333333342</v>
      </c>
      <c r="CR100" s="2" cm="1">
        <f t="array" aca="1" ref="CR100" ca="1">MIN(_xlfn._xlws.FILTER($CJ100:$CP100,$CJ100:$CP100&gt;BJ100))</f>
        <v>56.366666666666674</v>
      </c>
      <c r="CS100" s="19">
        <f t="shared" ca="1" si="100"/>
        <v>0.21079765143920937</v>
      </c>
      <c r="CT100" s="23">
        <f t="shared" ca="1" si="101"/>
        <v>-0.10539882571960468</v>
      </c>
      <c r="CU100" s="23">
        <f t="shared" ca="1" si="102"/>
        <v>-7.0265883813069793E-2</v>
      </c>
      <c r="CV100" s="23">
        <f t="shared" ca="1" si="103"/>
        <v>-4.2159530287841876E-2</v>
      </c>
      <c r="CW100" s="23">
        <f t="shared" ca="1" si="104"/>
        <v>-2.3421961271023264E-2</v>
      </c>
      <c r="CX100" s="23">
        <f t="shared" ca="1" si="105"/>
        <v>-1.2399861849365257E-2</v>
      </c>
      <c r="CY100" s="23">
        <f t="shared" ca="1" si="106"/>
        <v>-6.3878076193699812E-3</v>
      </c>
      <c r="CZ100" s="23">
        <f t="shared" ca="1" si="107"/>
        <v>-3.2430407913724519E-3</v>
      </c>
      <c r="DA100" s="24">
        <f t="shared" ca="1" si="108"/>
        <v>3.2430407913724519E-3</v>
      </c>
      <c r="DB100" s="24">
        <f t="shared" ca="1" si="109"/>
        <v>6.3878076193699812E-3</v>
      </c>
      <c r="DC100" s="24">
        <f t="shared" ca="1" si="110"/>
        <v>1.2399861849365257E-2</v>
      </c>
      <c r="DD100" s="24">
        <f t="shared" ca="1" si="111"/>
        <v>2.3421961271023264E-2</v>
      </c>
      <c r="DE100" s="24">
        <f t="shared" ca="1" si="112"/>
        <v>4.2159530287841876E-2</v>
      </c>
      <c r="DF100" s="24">
        <f t="shared" ca="1" si="113"/>
        <v>7.0265883813069793E-2</v>
      </c>
      <c r="DG100" s="24">
        <f t="shared" ca="1" si="114"/>
        <v>0.10539882571960468</v>
      </c>
      <c r="DI100" s="19" cm="1">
        <f t="array" aca="1" ref="DI100" ca="1">MAX(_xlfn._xlws.FILTER(CT100:DG100,CT100:DG100&lt;BP100))</f>
        <v>-3.2430407913724519E-3</v>
      </c>
      <c r="DJ100" s="19" cm="1">
        <f t="array" aca="1" ref="DJ100" ca="1">MIN(_xlfn._xlws.FILTER(CT100:DG100,CT100:DG100&gt;BP100))</f>
        <v>3.2430407913724519E-3</v>
      </c>
      <c r="DK100" s="2" cm="1">
        <f t="array" aca="1" ref="DK100" ca="1">_FV(EH100,"Fechamento anterior",TRUE)</f>
        <v>53</v>
      </c>
      <c r="DL100" s="36">
        <f ca="1">(BJ100-DM100)/(DN100-DM100)</f>
        <v>5.4722749179682405E-3</v>
      </c>
      <c r="DM100" s="18">
        <f t="shared" ca="1" si="115"/>
        <v>52.828118838057257</v>
      </c>
      <c r="DN100" s="18">
        <f t="shared" ca="1" si="116"/>
        <v>53.171881161942743</v>
      </c>
      <c r="DO100" s="9"/>
      <c r="DP100" s="9"/>
      <c r="DQ100" s="94">
        <v>1.7511840502182532E-2</v>
      </c>
      <c r="DR100" s="94">
        <v>6.0617909430631832E-3</v>
      </c>
      <c r="DS100" s="94">
        <v>1.0637588368680801E-2</v>
      </c>
      <c r="DT100" s="94">
        <f t="shared" ca="1" si="92"/>
        <v>6.4860815827449039E-3</v>
      </c>
      <c r="DU100" s="87">
        <f ca="1">(BJ100-CF100)/(CF100-CE100)</f>
        <v>0.54168759616045858</v>
      </c>
      <c r="DV100" s="46"/>
      <c r="DW100" s="43">
        <f>_xlfn.STDEV.P(BF100:BI100)</f>
        <v>1.2553361103704446</v>
      </c>
      <c r="DX100" s="76">
        <f ca="1">BO100-$DT$2</f>
        <v>-0.20150000000000012</v>
      </c>
      <c r="DY100" s="76">
        <f ca="1">BO100-BP100*100</f>
        <v>1.1164000000000001</v>
      </c>
      <c r="DZ100" s="101"/>
      <c r="EA100" s="100">
        <v>-4.1968999999999994</v>
      </c>
      <c r="EB100" s="107">
        <v>-1.6563999999999997</v>
      </c>
      <c r="EC100" s="107">
        <v>2.1040000000000001</v>
      </c>
      <c r="ED100" s="98">
        <f t="shared" ca="1" si="93"/>
        <v>-1.3179000000000003</v>
      </c>
      <c r="EE100" s="66"/>
      <c r="EF100" s="66"/>
      <c r="EH100" s="2" t="e" vm="100">
        <v>#VALUE!</v>
      </c>
      <c r="EJ100" s="10" cm="1">
        <f t="array" aca="1" ref="EJ100" ca="1">_FV(EH100,"Ações em circulação",TRUE)</f>
        <v>4539008000</v>
      </c>
      <c r="EK100" s="21">
        <f>VLOOKUP(BK100,Fundamentus!A:U,5,FALSE)</f>
        <v>1.119</v>
      </c>
      <c r="EL100" s="2">
        <f ca="1">(BJ100*EJ100)/EK100</f>
        <v>214294720857.90884</v>
      </c>
      <c r="EM100" s="20">
        <v>30764252345.308311</v>
      </c>
      <c r="EN100" s="20">
        <f t="shared" ca="1" si="94"/>
        <v>30665574554.766758</v>
      </c>
      <c r="EP100" s="19">
        <f t="shared" ca="1" si="89"/>
        <v>-3.2075471698113089E-3</v>
      </c>
      <c r="EQ100" s="40" t="str">
        <f>IF(VLOOKUP(BK100,Fundamentus!A:U,3,FALSE)&lt;15,"Bom",IF(VLOOKUP(BK100,Fundamentus!A:U,3,FALSE)&gt;15,"Ruim","n/a"))</f>
        <v>Bom</v>
      </c>
      <c r="ER100" s="36" t="str">
        <f>IF(VLOOKUP(BK100,Fundamentus!A:U,4,FALSE)&lt;1,"Baixo",IF(VLOOKUP(BK100,Fundamentus!A:U,4,FALSE)&lt;1.5,"Moderado",IF(VLOOKUP(BK100,Fundamentus!A:U,4,FALSE)&gt;1.5,"Alto","n/a")))</f>
        <v>Moderado</v>
      </c>
      <c r="ES100" s="20" t="str">
        <f>IF(VLOOKUP(BK100,Fundamentus!A:U,8,FALSE)&lt;0,"Risco elevado",IF(VLOOKUP(BK100,Fundamentus!A:U,8,FALSE)&lt;1,"Saudável",IF(VLOOKUP(BK100,Fundamentus!A:U,8,FALSE)&lt;3,"Estável",IF(VLOOKUP(BK100,Fundamentus!A:U,8,FALSE)&gt;3,"Alerta","n/a"))))</f>
        <v>Alerta</v>
      </c>
      <c r="ET100" s="36" t="str">
        <f t="shared" si="95"/>
        <v>Bom</v>
      </c>
      <c r="EU100" s="20" t="str">
        <f>IF(VLOOKUP(BK100,Fundamentus!A:U,12,FALSE)&lt;2,"Subvalorizada",IF(VLOOKUP(BK100,Fundamentus!A:U,12,FALSE)&lt;6,"Muita barata",IF(VLOOKUP(BK100,Fundamentus!A:U,12,FALSE)&lt;6,"Barata",IF(VLOOKUP(BK100,Fundamentus!A:U,12,FALSE)&lt;8,"Atrativa",IF(VLOOKUP(BK100,Fundamentus!A:U,12,FALSE)&gt;8,"Supervalorizada","n/a")))))</f>
        <v>Muita barata</v>
      </c>
      <c r="EW100" s="20" t="str">
        <f>IF(VLOOKUP(BK100,Fundamentus!A:U,17,FALSE)&lt;0.1,"Fraco retorno",IF(VLOOKUP(BK100,Fundamentus!A:U,17,FALSE)&gt;0.1,"Bom retorno","n/a"))</f>
        <v>Bom retorno</v>
      </c>
      <c r="EX100" s="20" t="str">
        <f>IF(VLOOKUP(BK100,Fundamentus!A:U,16,FALSE)&lt;0.1,"Ineficiente",IF(VLOOKUP(BK100,Fundamentus!A:U,16,FALSE)&gt;0.1,"Eficiente","n/a"))</f>
        <v>Eficiente</v>
      </c>
      <c r="EY100" s="41" t="str">
        <f>IF(VLOOKUP(BK100,Fundamentus!A:U,16,FALSE)&lt;0.1,"Oper. Ineficiente",IF(VLOOKUP(BK100,Fundamentus!A:U,16,FALSE)&gt;0.1,"Oper.Eficiente","n/a"))</f>
        <v>Oper.Eficiente</v>
      </c>
      <c r="EZ100" s="42">
        <f>VLOOKUP(BK100,Fundamentus!A:U,14,FALSE)</f>
        <v>0.1431</v>
      </c>
      <c r="FA100" s="20" t="str">
        <f>IF(VLOOKUP(BK100,Fundamentus!A:U,21,FALSE)&lt;0,"Negativo",IF(VLOOKUP(BK100,Fundamentus!A:U,21,FALSE)&lt;0.05,"Fraco",IF(VLOOKUP(BK100,Fundamentus!A:U,21,FALSE)&lt;0.1,"Bom",IF(VLOOKUP(BK100,Fundamentus!A:U,21,FALSE)&gt;0.1,"Muito bom","n/a"))))</f>
        <v>Negativo</v>
      </c>
      <c r="FC100" s="37" t="str">
        <f>IF(VLOOKUP(BK100,Fundamentus!A:U,15,FALSE)&gt;1,"Bom",IF(VLOOKUP(BK100,Fundamentus!A:U,15,FALSE)&lt;1,"Ruim","n/a"))</f>
        <v>Bom</v>
      </c>
      <c r="FD100" s="20" t="str">
        <f>IF(VLOOKUP(BK100,Fundamentus!A:U,20,FALSE)&lt;0.5,"Baixa",IF(VLOOKUP(BK100,Fundamentus!A:U,20,FALSE)&lt;1,"Moderada",IF(VLOOKUP(BK100,Fundamentus!A:U,20,FALSE)&lt;2,"Alerta",IF(VLOOKUP(BK100,Fundamentus!A:U,20,FALSE)&gt;2,"Alta","n/a"))))</f>
        <v>Baixa</v>
      </c>
      <c r="FE100" s="10"/>
    </row>
    <row r="101" spans="1:161" s="2" customFormat="1" ht="11.25" hidden="1"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8">
        <v>16.309999999999999</v>
      </c>
      <c r="BC101" s="62">
        <v>15.3</v>
      </c>
      <c r="BD101" s="62">
        <v>14.67</v>
      </c>
      <c r="BE101" s="62">
        <v>14.85</v>
      </c>
      <c r="BF101" s="62">
        <v>15.15</v>
      </c>
      <c r="BG101" s="81">
        <v>13.88</v>
      </c>
      <c r="BH101" s="62">
        <v>14</v>
      </c>
      <c r="BI101" s="62">
        <v>14.99</v>
      </c>
      <c r="BJ101" s="62" cm="1">
        <f t="array" aca="1" ref="BJ101" ca="1">_FV(EH101,"Preço")</f>
        <v>15.03</v>
      </c>
      <c r="BK101" s="83" t="s">
        <v>98</v>
      </c>
      <c r="BL101" s="44" cm="1">
        <f t="array" aca="1" ref="BL101" ca="1">_FV(EH101,"Média de volume",TRUE)</f>
        <v>13709600</v>
      </c>
      <c r="BM101" s="44">
        <v>11347600</v>
      </c>
      <c r="BN101" s="44" cm="1">
        <f t="array" aca="1" ref="BN101" ca="1">_FV(EH101,"Volume")</f>
        <v>3987500</v>
      </c>
      <c r="BO101" s="32" cm="1">
        <f t="array" aca="1" ref="BO101" ca="1">_FV(EH101,"Beta")</f>
        <v>0.80489999999999995</v>
      </c>
      <c r="BP101" s="86" cm="1">
        <f t="array" aca="1" ref="BP101" ca="1">_FV(EH101,"Variação (%)",TRUE)</f>
        <v>2.6679999999999998E-3</v>
      </c>
      <c r="BQ101" s="48"/>
      <c r="BR101" s="48"/>
      <c r="BT101" s="20" cm="1">
        <f t="array" aca="1" ref="BT101" ca="1">_FV(EH101,"Baixo")</f>
        <v>14.94</v>
      </c>
      <c r="BU101" s="20" cm="1">
        <f t="array" aca="1" ref="BU101" ca="1">_FV(EH101,"Alto")</f>
        <v>15.3</v>
      </c>
      <c r="BV101" s="32"/>
      <c r="BW101" s="73">
        <f ca="1">SQRT(22.5*(BJ101/VLOOKUP(BK101,Fundamentus!A:U,3,FALSE))*(BJ101/VLOOKUP(BK101,Fundamentus!A:U,4,FALSE)))</f>
        <v>8.252629632715399</v>
      </c>
      <c r="BY101" s="72">
        <f t="shared" ca="1" si="90"/>
        <v>2.6684456304202232E-3</v>
      </c>
      <c r="BZ101" s="8"/>
      <c r="CA101" s="71">
        <f t="shared" si="98"/>
        <v>13.88</v>
      </c>
      <c r="CB101" s="71">
        <f t="shared" si="91"/>
        <v>29.5</v>
      </c>
      <c r="CC101" s="71">
        <f t="shared" si="99"/>
        <v>22.650000000000002</v>
      </c>
      <c r="CD101" s="17"/>
      <c r="CE101" s="43">
        <f t="shared" si="96"/>
        <v>13.276184826233854</v>
      </c>
      <c r="CF101" s="18">
        <f>FORECAST("04/07/2025", BF101:BI101, $BF$5:$BI$5)</f>
        <v>14.414999999999992</v>
      </c>
      <c r="CG101" s="43">
        <f t="shared" si="97"/>
        <v>15.553815173766131</v>
      </c>
      <c r="CI101" s="17"/>
      <c r="CJ101" s="20">
        <f>CA101-2*(CB101-CM101)</f>
        <v>-6.2066666666666652</v>
      </c>
      <c r="CK101" s="20">
        <f>CM101-(CB101-CA101)</f>
        <v>3.8366666666666678</v>
      </c>
      <c r="CL101" s="20">
        <f>2*CM101-CB101</f>
        <v>9.413333333333334</v>
      </c>
      <c r="CM101" s="48">
        <f>(CB101+CA101+BI101)/3</f>
        <v>19.456666666666667</v>
      </c>
      <c r="CN101" s="20">
        <f>2*CM101-CA101</f>
        <v>25.033333333333331</v>
      </c>
      <c r="CO101" s="20">
        <f>CM101+(CB101-CA101)</f>
        <v>35.076666666666668</v>
      </c>
      <c r="CP101" s="20">
        <f>CB101+2*(CM101-CA101)</f>
        <v>40.653333333333336</v>
      </c>
      <c r="CQ101" s="2" cm="1">
        <f t="array" aca="1" ref="CQ101" ca="1">MAX(_xlfn._xlws.FILTER(CJ101:CP101,CJ101:CP101&lt;BJ101))</f>
        <v>9.413333333333334</v>
      </c>
      <c r="CR101" s="2" cm="1">
        <f t="array" aca="1" ref="CR101" ca="1">MIN(_xlfn._xlws.FILTER($CJ101:$CP101,$CJ101:$CP101&gt;BJ101))</f>
        <v>19.456666666666667</v>
      </c>
      <c r="CS101" s="19">
        <f t="shared" ca="1" si="100"/>
        <v>1.066926345609065</v>
      </c>
      <c r="CT101" s="23">
        <f t="shared" ca="1" si="101"/>
        <v>-0.53346317280453248</v>
      </c>
      <c r="CU101" s="23">
        <f t="shared" ca="1" si="102"/>
        <v>-0.35564211520302164</v>
      </c>
      <c r="CV101" s="23">
        <f t="shared" ca="1" si="103"/>
        <v>-0.21338526912181299</v>
      </c>
      <c r="CW101" s="23">
        <f t="shared" ca="1" si="104"/>
        <v>-0.11854737173434055</v>
      </c>
      <c r="CX101" s="23">
        <f t="shared" ca="1" si="105"/>
        <v>-6.2760373271121467E-2</v>
      </c>
      <c r="CY101" s="23">
        <f t="shared" ca="1" si="106"/>
        <v>-3.2331101382092879E-2</v>
      </c>
      <c r="CZ101" s="23">
        <f t="shared" ca="1" si="107"/>
        <v>-1.6414251470908692E-2</v>
      </c>
      <c r="DA101" s="24">
        <f t="shared" ca="1" si="108"/>
        <v>1.6414251470908692E-2</v>
      </c>
      <c r="DB101" s="24">
        <f t="shared" ca="1" si="109"/>
        <v>3.2331101382092879E-2</v>
      </c>
      <c r="DC101" s="24">
        <f t="shared" ca="1" si="110"/>
        <v>6.2760373271121467E-2</v>
      </c>
      <c r="DD101" s="24">
        <f t="shared" ca="1" si="111"/>
        <v>0.11854737173434055</v>
      </c>
      <c r="DE101" s="24">
        <f t="shared" ca="1" si="112"/>
        <v>0.21338526912181299</v>
      </c>
      <c r="DF101" s="24">
        <f t="shared" ca="1" si="113"/>
        <v>0.35564211520302164</v>
      </c>
      <c r="DG101" s="24">
        <f t="shared" ca="1" si="114"/>
        <v>0.53346317280453248</v>
      </c>
      <c r="DI101" s="19" cm="1">
        <f t="array" aca="1" ref="DI101" ca="1">MAX(_xlfn._xlws.FILTER(CT101:DG101,CT101:DG101&lt;BP101))</f>
        <v>-1.6414251470908692E-2</v>
      </c>
      <c r="DJ101" s="19" cm="1">
        <f t="array" aca="1" ref="DJ101" ca="1">MIN(_xlfn._xlws.FILTER(CT101:DG101,CT101:DG101&gt;BP101))</f>
        <v>1.6414251470908692E-2</v>
      </c>
      <c r="DK101" s="2" cm="1">
        <f t="array" aca="1" ref="DK101" ca="1">_FV(EH101,"Fechamento anterior",TRUE)</f>
        <v>14.99</v>
      </c>
      <c r="DL101" s="36">
        <f ca="1">(BJ101-DM101)/(DN101-DM101)</f>
        <v>0.58128441419182497</v>
      </c>
      <c r="DM101" s="18">
        <f t="shared" ca="1" si="115"/>
        <v>14.743950370451079</v>
      </c>
      <c r="DN101" s="18">
        <f t="shared" ca="1" si="116"/>
        <v>15.236049629548921</v>
      </c>
      <c r="DO101" s="9"/>
      <c r="DP101" s="9"/>
      <c r="DQ101" s="94">
        <v>3.1339031339031341E-2</v>
      </c>
      <c r="DR101" s="94">
        <v>3.1339031339031341E-2</v>
      </c>
      <c r="DS101" s="94">
        <v>3.4242136516405147E-2</v>
      </c>
      <c r="DT101" s="94">
        <f t="shared" ca="1" si="92"/>
        <v>3.2828502941817383E-2</v>
      </c>
      <c r="DU101" s="87">
        <f ca="1">(BJ101-CF101)/(CF101-CE101)</f>
        <v>0.54003495401818447</v>
      </c>
      <c r="DV101" s="46"/>
      <c r="DW101" s="43">
        <f>_xlfn.STDEV.P(BF101:BI101)</f>
        <v>0.56940758688306914</v>
      </c>
      <c r="DX101" s="76">
        <f ca="1">BO101-$DT$2</f>
        <v>-0.19220000000000015</v>
      </c>
      <c r="DY101" s="76">
        <f ca="1">BO101-BP101*100</f>
        <v>0.53810000000000002</v>
      </c>
      <c r="DZ101" s="101"/>
      <c r="EA101" s="100">
        <v>0.58299999999999996</v>
      </c>
      <c r="EB101" s="107">
        <v>0.46229999999999993</v>
      </c>
      <c r="EC101" s="107">
        <v>-1.4595</v>
      </c>
      <c r="ED101" s="98">
        <f t="shared" ca="1" si="93"/>
        <v>-0.73030000000000017</v>
      </c>
      <c r="EE101" s="66"/>
      <c r="EF101" s="66"/>
      <c r="EH101" s="2" t="e" vm="101">
        <v>#VALUE!</v>
      </c>
      <c r="EJ101" s="10" cm="1">
        <f t="array" aca="1" ref="EJ101" ca="1">_FV(EH101,"Ações em circulação",TRUE)</f>
        <v>1718007000</v>
      </c>
      <c r="EK101" s="21">
        <f>VLOOKUP(BK101,Fundamentus!A:U,5,FALSE)</f>
        <v>0.59899999999999998</v>
      </c>
      <c r="EL101" s="2">
        <f ca="1">(BJ101*EJ101)/EK101</f>
        <v>43107921886.477463</v>
      </c>
      <c r="EM101" s="20">
        <v>1276897947.2804675</v>
      </c>
      <c r="EN101" s="20">
        <f t="shared" ca="1" si="94"/>
        <v>1280305280.0283806</v>
      </c>
      <c r="EP101" s="19">
        <f t="shared" ca="1" si="89"/>
        <v>2.6684456304202353E-3</v>
      </c>
      <c r="EQ101" s="40" t="str">
        <f>IF(VLOOKUP(BK101,Fundamentus!A:U,3,FALSE)&lt;15,"Bom",IF(VLOOKUP(BK101,Fundamentus!A:U,3,FALSE)&gt;15,"Ruim","n/a"))</f>
        <v>Ruim</v>
      </c>
      <c r="ER101" s="36" t="str">
        <f>IF(VLOOKUP(BK101,Fundamentus!A:U,4,FALSE)&lt;1,"Baixo",IF(VLOOKUP(BK101,Fundamentus!A:U,4,FALSE)&lt;1.5,"Moderado",IF(VLOOKUP(BK101,Fundamentus!A:U,4,FALSE)&gt;1.5,"Alto","n/a")))</f>
        <v>Alto</v>
      </c>
      <c r="ES101" s="20" t="str">
        <f>IF(VLOOKUP(BK101,Fundamentus!A:U,8,FALSE)&lt;0,"Risco elevado",IF(VLOOKUP(BK101,Fundamentus!A:U,8,FALSE)&lt;1,"Saudável",IF(VLOOKUP(BK101,Fundamentus!A:U,8,FALSE)&lt;3,"Estável",IF(VLOOKUP(BK101,Fundamentus!A:U,8,FALSE)&gt;3,"Alerta","n/a"))))</f>
        <v>Alerta</v>
      </c>
      <c r="ET101" s="36" t="str">
        <f t="shared" si="95"/>
        <v>Ruim</v>
      </c>
      <c r="EU101" s="20" t="str">
        <f>IF(VLOOKUP(BK101,Fundamentus!A:U,12,FALSE)&lt;2,"Subvalorizada",IF(VLOOKUP(BK101,Fundamentus!A:U,12,FALSE)&lt;6,"Muita barata",IF(VLOOKUP(BK101,Fundamentus!A:U,12,FALSE)&lt;6,"Barata",IF(VLOOKUP(BK101,Fundamentus!A:U,12,FALSE)&lt;8,"Atrativa",IF(VLOOKUP(BK101,Fundamentus!A:U,12,FALSE)&gt;8,"Supervalorizada","n/a")))))</f>
        <v>Atrativa</v>
      </c>
      <c r="EW101" s="20" t="str">
        <f>IF(VLOOKUP(BK101,Fundamentus!A:U,17,FALSE)&lt;0.1,"Fraco retorno",IF(VLOOKUP(BK101,Fundamentus!A:U,17,FALSE)&gt;0.1,"Bom retorno","n/a"))</f>
        <v>Bom retorno</v>
      </c>
      <c r="EX101" s="20" t="str">
        <f>IF(VLOOKUP(BK101,Fundamentus!A:U,16,FALSE)&lt;0.1,"Ineficiente",IF(VLOOKUP(BK101,Fundamentus!A:U,16,FALSE)&gt;0.1,"Eficiente","n/a"))</f>
        <v>Eficiente</v>
      </c>
      <c r="EY101" s="41" t="str">
        <f>IF(VLOOKUP(BK101,Fundamentus!A:U,16,FALSE)&lt;0.1,"Oper. Ineficiente",IF(VLOOKUP(BK101,Fundamentus!A:U,16,FALSE)&gt;0.1,"Oper.Eficiente","n/a"))</f>
        <v>Oper.Eficiente</v>
      </c>
      <c r="EZ101" s="42">
        <f>VLOOKUP(BK101,Fundamentus!A:U,14,FALSE)</f>
        <v>2.9700000000000001E-2</v>
      </c>
      <c r="FA101" s="20" t="str">
        <f>IF(VLOOKUP(BK101,Fundamentus!A:U,21,FALSE)&lt;0,"Negativo",IF(VLOOKUP(BK101,Fundamentus!A:U,21,FALSE)&lt;0.05,"Fraco",IF(VLOOKUP(BK101,Fundamentus!A:U,21,FALSE)&lt;0.1,"Bom",IF(VLOOKUP(BK101,Fundamentus!A:U,21,FALSE)&gt;0.1,"Muito bom","n/a"))))</f>
        <v>Muito bom</v>
      </c>
      <c r="FC101" s="37" t="str">
        <f>IF(VLOOKUP(BK101,Fundamentus!A:U,15,FALSE)&gt;1,"Bom",IF(VLOOKUP(BK101,Fundamentus!A:U,15,FALSE)&lt;1,"Ruim","n/a"))</f>
        <v>Bom</v>
      </c>
      <c r="FD101" s="20" t="str">
        <f>IF(VLOOKUP(BK101,Fundamentus!A:U,20,FALSE)&lt;0.5,"Baixa",IF(VLOOKUP(BK101,Fundamentus!A:U,20,FALSE)&lt;1,"Moderada",IF(VLOOKUP(BK101,Fundamentus!A:U,20,FALSE)&lt;2,"Alerta",IF(VLOOKUP(BK101,Fundamentus!A:U,20,FALSE)&gt;2,"Alta","n/a"))))</f>
        <v>Baixa</v>
      </c>
      <c r="FE101" s="10"/>
    </row>
    <row r="102" spans="1:161" s="2" customFormat="1" ht="11.25" hidden="1"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8">
        <v>15.15</v>
      </c>
      <c r="BC102" s="62">
        <v>15.55</v>
      </c>
      <c r="BD102" s="62">
        <v>14.83</v>
      </c>
      <c r="BE102" s="62">
        <v>15</v>
      </c>
      <c r="BF102" s="62">
        <v>15.08</v>
      </c>
      <c r="BG102" s="81">
        <v>14.85</v>
      </c>
      <c r="BH102" s="62">
        <v>15.05</v>
      </c>
      <c r="BI102" s="62">
        <v>15.17</v>
      </c>
      <c r="BJ102" s="62" cm="1">
        <f t="array" aca="1" ref="BJ102" ca="1">_FV(EH102,"Preço")</f>
        <v>15.77</v>
      </c>
      <c r="BK102" s="83" t="s">
        <v>99</v>
      </c>
      <c r="BL102" s="44" cm="1">
        <f t="array" aca="1" ref="BL102" ca="1">_FV(EH102,"Média de volume",TRUE)</f>
        <v>3046780</v>
      </c>
      <c r="BM102" s="44">
        <v>1598600</v>
      </c>
      <c r="BN102" s="44" cm="1">
        <f t="array" aca="1" ref="BN102" ca="1">_FV(EH102,"Volume")</f>
        <v>1228300</v>
      </c>
      <c r="BO102" s="32" cm="1">
        <f t="array" aca="1" ref="BO102" ca="1">_FV(EH102,"Beta")</f>
        <v>1.2816000000000001</v>
      </c>
      <c r="BP102" s="86" cm="1">
        <f t="array" aca="1" ref="BP102" ca="1">_FV(EH102,"Variação (%)",TRUE)</f>
        <v>3.9552000000000004E-2</v>
      </c>
      <c r="BQ102" s="48"/>
      <c r="BR102" s="48"/>
      <c r="BT102" s="20" cm="1">
        <f t="array" aca="1" ref="BT102" ca="1">_FV(EH102,"Baixo")</f>
        <v>15.09</v>
      </c>
      <c r="BU102" s="20" cm="1">
        <f t="array" aca="1" ref="BU102" ca="1">_FV(EH102,"Alto")</f>
        <v>15.79</v>
      </c>
      <c r="BV102" s="32"/>
      <c r="BW102" s="73">
        <f ca="1">SQRT(22.5*(BJ102/VLOOKUP(BK102,Fundamentus!A:U,3,FALSE))*(BJ102/VLOOKUP(BK102,Fundamentus!A:U,4,FALSE)))</f>
        <v>11.629450576180444</v>
      </c>
      <c r="BY102" s="72">
        <f t="shared" ca="1" si="90"/>
        <v>3.9551746868820015E-2</v>
      </c>
      <c r="BZ102" s="8"/>
      <c r="CA102" s="71">
        <f t="shared" si="98"/>
        <v>13.1</v>
      </c>
      <c r="CB102" s="71">
        <f t="shared" si="91"/>
        <v>19.100000000000001</v>
      </c>
      <c r="CC102" s="71">
        <f t="shared" si="99"/>
        <v>16.213032786885247</v>
      </c>
      <c r="CD102" s="17"/>
      <c r="CE102" s="43">
        <f t="shared" si="96"/>
        <v>14.921173140978231</v>
      </c>
      <c r="CF102" s="18">
        <f>FORECAST("04/07/2025", BF102:BI102, $BF$5:$BI$5)</f>
        <v>15.15500000000003</v>
      </c>
      <c r="CG102" s="43">
        <f t="shared" si="97"/>
        <v>15.388826859021828</v>
      </c>
      <c r="CI102" s="17"/>
      <c r="CJ102" s="20">
        <f>CA102-2*(CB102-CM102)</f>
        <v>6.4799999999999986</v>
      </c>
      <c r="CK102" s="20">
        <f>CM102-(CB102-CA102)</f>
        <v>9.7899999999999991</v>
      </c>
      <c r="CL102" s="20">
        <f>2*CM102-CB102</f>
        <v>12.48</v>
      </c>
      <c r="CM102" s="48">
        <f>(CB102+CA102+BI102)/3</f>
        <v>15.790000000000001</v>
      </c>
      <c r="CN102" s="20">
        <f>2*CM102-CA102</f>
        <v>18.480000000000004</v>
      </c>
      <c r="CO102" s="20">
        <f>CM102+(CB102-CA102)</f>
        <v>21.790000000000003</v>
      </c>
      <c r="CP102" s="20">
        <f>CB102+2*(CM102-CA102)</f>
        <v>24.480000000000004</v>
      </c>
      <c r="CQ102" s="2" cm="1">
        <f t="array" aca="1" ref="CQ102" ca="1">MAX(_xlfn._xlws.FILTER(CJ102:CP102,CJ102:CP102&lt;BJ102))</f>
        <v>12.48</v>
      </c>
      <c r="CR102" s="2" cm="1">
        <f t="array" aca="1" ref="CR102" ca="1">MIN(_xlfn._xlws.FILTER($CJ102:$CP102,$CJ102:$CP102&gt;BJ102))</f>
        <v>15.790000000000001</v>
      </c>
      <c r="CS102" s="19">
        <f t="shared" ca="1" si="100"/>
        <v>0.26522435897435903</v>
      </c>
      <c r="CT102" s="23">
        <f t="shared" ca="1" si="101"/>
        <v>-0.13261217948717952</v>
      </c>
      <c r="CU102" s="23">
        <f t="shared" ca="1" si="102"/>
        <v>-8.8408119658119677E-2</v>
      </c>
      <c r="CV102" s="23">
        <f t="shared" ca="1" si="103"/>
        <v>-5.3044871794871808E-2</v>
      </c>
      <c r="CW102" s="23">
        <f t="shared" ca="1" si="104"/>
        <v>-2.9469373219373225E-2</v>
      </c>
      <c r="CX102" s="23">
        <f t="shared" ca="1" si="105"/>
        <v>-1.5601432880844649E-2</v>
      </c>
      <c r="CY102" s="23">
        <f t="shared" ca="1" si="106"/>
        <v>-8.0371017871017896E-3</v>
      </c>
      <c r="CZ102" s="23">
        <f t="shared" ca="1" si="107"/>
        <v>-4.0803747534516772E-3</v>
      </c>
      <c r="DA102" s="24">
        <f t="shared" ca="1" si="108"/>
        <v>4.0803747534516772E-3</v>
      </c>
      <c r="DB102" s="24">
        <f t="shared" ca="1" si="109"/>
        <v>8.0371017871017896E-3</v>
      </c>
      <c r="DC102" s="24">
        <f t="shared" ca="1" si="110"/>
        <v>1.5601432880844649E-2</v>
      </c>
      <c r="DD102" s="24">
        <f t="shared" ca="1" si="111"/>
        <v>2.9469373219373225E-2</v>
      </c>
      <c r="DE102" s="24">
        <f t="shared" ca="1" si="112"/>
        <v>5.3044871794871808E-2</v>
      </c>
      <c r="DF102" s="24">
        <f t="shared" ca="1" si="113"/>
        <v>8.8408119658119677E-2</v>
      </c>
      <c r="DG102" s="24">
        <f t="shared" ca="1" si="114"/>
        <v>0.13261217948717952</v>
      </c>
      <c r="DI102" s="19" cm="1">
        <f t="array" aca="1" ref="DI102" ca="1">MAX(_xlfn._xlws.FILTER(CT102:DG102,CT102:DG102&lt;BP102))</f>
        <v>2.9469373219373225E-2</v>
      </c>
      <c r="DJ102" s="19" cm="1">
        <f t="array" aca="1" ref="DJ102" ca="1">MIN(_xlfn._xlws.FILTER(CT102:DG102,CT102:DG102&gt;BP102))</f>
        <v>5.3044871794871808E-2</v>
      </c>
      <c r="DK102" s="2" cm="1">
        <f t="array" aca="1" ref="DK102" ca="1">_FV(EH102,"Fechamento anterior",TRUE)</f>
        <v>15.17</v>
      </c>
      <c r="DL102" s="36">
        <f ca="1">(BJ102-DM102)/(DN102-DM102)</f>
        <v>0.42766322065931506</v>
      </c>
      <c r="DM102" s="18">
        <f t="shared" ca="1" si="115"/>
        <v>15.617050391737891</v>
      </c>
      <c r="DN102" s="18">
        <f t="shared" ca="1" si="116"/>
        <v>15.974690705128205</v>
      </c>
      <c r="DO102" s="9"/>
      <c r="DP102" s="9"/>
      <c r="DQ102" s="94">
        <v>1.027765733648087E-2</v>
      </c>
      <c r="DR102" s="94">
        <v>5.3760053760053767E-3</v>
      </c>
      <c r="DS102" s="94">
        <v>8.5702341137123723E-3</v>
      </c>
      <c r="DT102" s="94">
        <f t="shared" ca="1" si="92"/>
        <v>2.3575498575498583E-2</v>
      </c>
      <c r="DU102" s="87">
        <f ca="1">(BJ102-CF102)/(CF102-CE102)</f>
        <v>2.6301512263081692</v>
      </c>
      <c r="DV102" s="46"/>
      <c r="DW102" s="43">
        <f>_xlfn.STDEV.P(BF102:BI102)</f>
        <v>0.11691342951089936</v>
      </c>
      <c r="DX102" s="76">
        <f ca="1">BO102-$DT$2</f>
        <v>0.28449999999999998</v>
      </c>
      <c r="DY102" s="76">
        <f ca="1">BO102-BP102*100</f>
        <v>-2.6736000000000004</v>
      </c>
      <c r="DZ102" s="101"/>
      <c r="EA102" s="100">
        <v>-0.47549999999999981</v>
      </c>
      <c r="EB102" s="107">
        <v>-0.90370000000000017</v>
      </c>
      <c r="EC102" s="107">
        <v>-1.7583</v>
      </c>
      <c r="ED102" s="98">
        <f t="shared" ca="1" si="93"/>
        <v>2.9581000000000004</v>
      </c>
      <c r="EE102" s="66"/>
      <c r="EF102" s="66"/>
      <c r="EH102" s="2" t="e" vm="102">
        <v>#VALUE!</v>
      </c>
      <c r="EJ102" s="10" cm="1">
        <f t="array" aca="1" ref="EJ102" ca="1">_FV(EH102,"Ações em circulação",TRUE)</f>
        <v>677280700</v>
      </c>
      <c r="EK102" s="21">
        <f>VLOOKUP(BK102,Fundamentus!A:U,5,FALSE)</f>
        <v>0.63600000000000001</v>
      </c>
      <c r="EL102" s="2">
        <f ca="1">(BJ102*EJ102)/EK102</f>
        <v>16793579621.069181</v>
      </c>
      <c r="EM102" s="20">
        <v>689802938.60267293</v>
      </c>
      <c r="EN102" s="20">
        <f t="shared" ca="1" si="94"/>
        <v>717085849.81965411</v>
      </c>
      <c r="EP102" s="19">
        <f t="shared" ca="1" si="89"/>
        <v>3.9551746868820015E-2</v>
      </c>
      <c r="EQ102" s="40" t="str">
        <f>IF(VLOOKUP(BK102,Fundamentus!A:U,3,FALSE)&lt;15,"Bom",IF(VLOOKUP(BK102,Fundamentus!A:U,3,FALSE)&gt;15,"Ruim","n/a"))</f>
        <v>Ruim</v>
      </c>
      <c r="ER102" s="36" t="str">
        <f>IF(VLOOKUP(BK102,Fundamentus!A:U,4,FALSE)&lt;1,"Baixo",IF(VLOOKUP(BK102,Fundamentus!A:U,4,FALSE)&lt;1.5,"Moderado",IF(VLOOKUP(BK102,Fundamentus!A:U,4,FALSE)&gt;1.5,"Alto","n/a")))</f>
        <v>Alto</v>
      </c>
      <c r="ES102" s="20" t="str">
        <f>IF(VLOOKUP(BK102,Fundamentus!A:U,8,FALSE)&lt;0,"Risco elevado",IF(VLOOKUP(BK102,Fundamentus!A:U,8,FALSE)&lt;1,"Saudável",IF(VLOOKUP(BK102,Fundamentus!A:U,8,FALSE)&lt;3,"Estável",IF(VLOOKUP(BK102,Fundamentus!A:U,8,FALSE)&gt;3,"Alerta","n/a"))))</f>
        <v>Estável</v>
      </c>
      <c r="ET102" s="36" t="str">
        <f t="shared" si="95"/>
        <v>Ruim</v>
      </c>
      <c r="EU102" s="20" t="str">
        <f>IF(VLOOKUP(BK102,Fundamentus!A:U,12,FALSE)&lt;2,"Subvalorizada",IF(VLOOKUP(BK102,Fundamentus!A:U,12,FALSE)&lt;6,"Muita barata",IF(VLOOKUP(BK102,Fundamentus!A:U,12,FALSE)&lt;6,"Barata",IF(VLOOKUP(BK102,Fundamentus!A:U,12,FALSE)&lt;8,"Atrativa",IF(VLOOKUP(BK102,Fundamentus!A:U,12,FALSE)&gt;8,"Supervalorizada","n/a")))))</f>
        <v>Atrativa</v>
      </c>
      <c r="EW102" s="20" t="str">
        <f>IF(VLOOKUP(BK102,Fundamentus!A:U,17,FALSE)&lt;0.1,"Fraco retorno",IF(VLOOKUP(BK102,Fundamentus!A:U,17,FALSE)&gt;0.1,"Bom retorno","n/a"))</f>
        <v>Bom retorno</v>
      </c>
      <c r="EX102" s="20" t="str">
        <f>IF(VLOOKUP(BK102,Fundamentus!A:U,16,FALSE)&lt;0.1,"Ineficiente",IF(VLOOKUP(BK102,Fundamentus!A:U,16,FALSE)&gt;0.1,"Eficiente","n/a"))</f>
        <v>Eficiente</v>
      </c>
      <c r="EY102" s="41" t="str">
        <f>IF(VLOOKUP(BK102,Fundamentus!A:U,16,FALSE)&lt;0.1,"Oper. Ineficiente",IF(VLOOKUP(BK102,Fundamentus!A:U,16,FALSE)&gt;0.1,"Oper.Eficiente","n/a"))</f>
        <v>Oper.Eficiente</v>
      </c>
      <c r="EZ102" s="42">
        <f>VLOOKUP(BK102,Fundamentus!A:U,14,FALSE)</f>
        <v>4.2700000000000002E-2</v>
      </c>
      <c r="FA102" s="20" t="str">
        <f>IF(VLOOKUP(BK102,Fundamentus!A:U,21,FALSE)&lt;0,"Negativo",IF(VLOOKUP(BK102,Fundamentus!A:U,21,FALSE)&lt;0.05,"Fraco",IF(VLOOKUP(BK102,Fundamentus!A:U,21,FALSE)&lt;0.1,"Bom",IF(VLOOKUP(BK102,Fundamentus!A:U,21,FALSE)&gt;0.1,"Muito bom","n/a"))))</f>
        <v>Muito bom</v>
      </c>
      <c r="FC102" s="37" t="str">
        <f>IF(VLOOKUP(BK102,Fundamentus!A:U,15,FALSE)&gt;1,"Bom",IF(VLOOKUP(BK102,Fundamentus!A:U,15,FALSE)&lt;1,"Ruim","n/a"))</f>
        <v>Bom</v>
      </c>
      <c r="FD102" s="20" t="str">
        <f>IF(VLOOKUP(BK102,Fundamentus!A:U,20,FALSE)&lt;0.5,"Baixa",IF(VLOOKUP(BK102,Fundamentus!A:U,20,FALSE)&lt;1,"Moderada",IF(VLOOKUP(BK102,Fundamentus!A:U,20,FALSE)&lt;2,"Alerta",IF(VLOOKUP(BK102,Fundamentus!A:U,20,FALSE)&gt;2,"Alta","n/a"))))</f>
        <v>Alerta</v>
      </c>
      <c r="FE102" s="10"/>
    </row>
    <row r="103" spans="1:161" s="2" customFormat="1" ht="11.25" hidden="1"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8">
        <v>2.95</v>
      </c>
      <c r="BC103" s="62">
        <v>2.85</v>
      </c>
      <c r="BD103" s="62">
        <v>2.95</v>
      </c>
      <c r="BE103" s="62">
        <v>3.18</v>
      </c>
      <c r="BF103" s="62">
        <v>3.3</v>
      </c>
      <c r="BG103" s="81">
        <v>3.7</v>
      </c>
      <c r="BH103" s="62">
        <v>3.7</v>
      </c>
      <c r="BI103" s="62">
        <v>3.61</v>
      </c>
      <c r="BJ103" s="62" cm="1">
        <f t="array" aca="1" ref="BJ103" ca="1">_FV(EH103,"Preço")</f>
        <v>3.6</v>
      </c>
      <c r="BK103" s="83" t="s">
        <v>100</v>
      </c>
      <c r="BL103" s="44" cm="1">
        <f t="array" aca="1" ref="BL103" ca="1">_FV(EH103,"Média de volume",TRUE)</f>
        <v>2942250</v>
      </c>
      <c r="BM103" s="44">
        <v>6065900</v>
      </c>
      <c r="BN103" s="44" cm="1">
        <f t="array" aca="1" ref="BN103" ca="1">_FV(EH103,"Volume")</f>
        <v>1960700</v>
      </c>
      <c r="BO103" s="32" cm="1">
        <f t="array" aca="1" ref="BO103" ca="1">_FV(EH103,"Beta")</f>
        <v>1.2266999999999999</v>
      </c>
      <c r="BP103" s="86" cm="1">
        <f t="array" aca="1" ref="BP103" ca="1">_FV(EH103,"Variação (%)",TRUE)</f>
        <v>-2.7700000000000003E-3</v>
      </c>
      <c r="BQ103" s="48"/>
      <c r="BR103" s="48"/>
      <c r="BT103" s="20" cm="1">
        <f t="array" aca="1" ref="BT103" ca="1">_FV(EH103,"Baixo")</f>
        <v>3.59</v>
      </c>
      <c r="BU103" s="20" cm="1">
        <f t="array" aca="1" ref="BU103" ca="1">_FV(EH103,"Alto")</f>
        <v>3.71</v>
      </c>
      <c r="BV103" s="32"/>
      <c r="BW103" s="73" t="e">
        <f ca="1">SQRT(22.5*(BJ103/VLOOKUP(BK103,Fundamentus!A:U,3,FALSE))*(BJ103/VLOOKUP(BK103,Fundamentus!A:U,4,FALSE)))</f>
        <v>#NUM!</v>
      </c>
      <c r="BY103" s="72">
        <f t="shared" ca="1" si="90"/>
        <v>-2.7700831024930158E-3</v>
      </c>
      <c r="BZ103" s="8"/>
      <c r="CA103" s="71">
        <f t="shared" si="98"/>
        <v>1.98</v>
      </c>
      <c r="CB103" s="71">
        <f t="shared" si="91"/>
        <v>4.45</v>
      </c>
      <c r="CC103" s="71">
        <f t="shared" si="99"/>
        <v>3.1899180327868848</v>
      </c>
      <c r="CD103" s="17"/>
      <c r="CE103" s="43">
        <f t="shared" si="96"/>
        <v>3.4812523764345036</v>
      </c>
      <c r="CF103" s="18">
        <f>FORECAST("04/07/2025", BF103:BI103, $BF$5:$BI$5)</f>
        <v>3.8100000000000591</v>
      </c>
      <c r="CG103" s="43">
        <f t="shared" si="97"/>
        <v>4.1387476235656147</v>
      </c>
      <c r="CI103" s="17"/>
      <c r="CJ103" s="20">
        <f>CA103-2*(CB103-CM103)</f>
        <v>-0.2266666666666679</v>
      </c>
      <c r="CK103" s="20">
        <f>CM103-(CB103-CA103)</f>
        <v>0.87666666666666604</v>
      </c>
      <c r="CL103" s="20">
        <f>2*CM103-CB103</f>
        <v>2.2433333333333323</v>
      </c>
      <c r="CM103" s="48">
        <f>(CB103+CA103+BI103)/3</f>
        <v>3.3466666666666662</v>
      </c>
      <c r="CN103" s="20">
        <f>2*CM103-CA103</f>
        <v>4.7133333333333329</v>
      </c>
      <c r="CO103" s="20">
        <f>CM103+(CB103-CA103)</f>
        <v>5.8166666666666664</v>
      </c>
      <c r="CP103" s="20">
        <f>CB103+2*(CM103-CA103)</f>
        <v>7.1833333333333327</v>
      </c>
      <c r="CQ103" s="2" cm="1">
        <f t="array" aca="1" ref="CQ103" ca="1">MAX(_xlfn._xlws.FILTER(CJ103:CP103,CJ103:CP103&lt;BJ103))</f>
        <v>3.3466666666666662</v>
      </c>
      <c r="CR103" s="2" cm="1">
        <f t="array" aca="1" ref="CR103" ca="1">MIN(_xlfn._xlws.FILTER($CJ103:$CP103,$CJ103:$CP103&gt;BJ103))</f>
        <v>4.7133333333333329</v>
      </c>
      <c r="CS103" s="19">
        <f t="shared" ca="1" si="100"/>
        <v>0.40836653386454191</v>
      </c>
      <c r="CT103" s="23">
        <f t="shared" ca="1" si="101"/>
        <v>-0.20418326693227096</v>
      </c>
      <c r="CU103" s="23">
        <f t="shared" ca="1" si="102"/>
        <v>-0.1361221779548473</v>
      </c>
      <c r="CV103" s="23">
        <f t="shared" ca="1" si="103"/>
        <v>-8.1673306772908377E-2</v>
      </c>
      <c r="CW103" s="23">
        <f t="shared" ca="1" si="104"/>
        <v>-4.5374059318282436E-2</v>
      </c>
      <c r="CX103" s="23">
        <f t="shared" ca="1" si="105"/>
        <v>-2.4021560815561289E-2</v>
      </c>
      <c r="CY103" s="23">
        <f t="shared" ca="1" si="106"/>
        <v>-1.2374743450440664E-2</v>
      </c>
      <c r="CZ103" s="23">
        <f t="shared" ca="1" si="107"/>
        <v>-6.282562059454491E-3</v>
      </c>
      <c r="DA103" s="24">
        <f t="shared" ca="1" si="108"/>
        <v>6.282562059454491E-3</v>
      </c>
      <c r="DB103" s="24">
        <f t="shared" ca="1" si="109"/>
        <v>1.2374743450440664E-2</v>
      </c>
      <c r="DC103" s="24">
        <f t="shared" ca="1" si="110"/>
        <v>2.4021560815561289E-2</v>
      </c>
      <c r="DD103" s="24">
        <f t="shared" ca="1" si="111"/>
        <v>4.5374059318282436E-2</v>
      </c>
      <c r="DE103" s="24">
        <f t="shared" ca="1" si="112"/>
        <v>8.1673306772908377E-2</v>
      </c>
      <c r="DF103" s="24">
        <f t="shared" ca="1" si="113"/>
        <v>0.1361221779548473</v>
      </c>
      <c r="DG103" s="24">
        <f t="shared" ca="1" si="114"/>
        <v>0.20418326693227096</v>
      </c>
      <c r="DI103" s="19" cm="1">
        <f t="array" aca="1" ref="DI103" ca="1">MAX(_xlfn._xlws.FILTER(CT103:DG103,CT103:DG103&lt;BP103))</f>
        <v>-6.282562059454491E-3</v>
      </c>
      <c r="DJ103" s="19" cm="1">
        <f t="array" aca="1" ref="DJ103" ca="1">MIN(_xlfn._xlws.FILTER(CT103:DG103,CT103:DG103&gt;BP103))</f>
        <v>6.282562059454491E-3</v>
      </c>
      <c r="DK103" s="2" cm="1">
        <f t="array" aca="1" ref="DK103" ca="1">_FV(EH103,"Fechamento anterior",TRUE)</f>
        <v>3.61</v>
      </c>
      <c r="DL103" s="36">
        <f ca="1">(BJ103-DM103)/(DN103-DM103)</f>
        <v>0.27954192284305707</v>
      </c>
      <c r="DM103" s="18">
        <f t="shared" ca="1" si="115"/>
        <v>3.587319950965369</v>
      </c>
      <c r="DN103" s="18">
        <f t="shared" ca="1" si="116"/>
        <v>3.6326800490346307</v>
      </c>
      <c r="DO103" s="9"/>
      <c r="DP103" s="9"/>
      <c r="DQ103" s="94">
        <v>8.3764129368102298E-3</v>
      </c>
      <c r="DR103" s="94">
        <v>8.3764129368102298E-3</v>
      </c>
      <c r="DS103" s="94">
        <v>2.1627341295188698E-2</v>
      </c>
      <c r="DT103" s="94">
        <f t="shared" ca="1" si="92"/>
        <v>1.2565124118908982E-2</v>
      </c>
      <c r="DU103" s="87">
        <f ca="1">(BJ103-CF103)/(CF103-CE103)</f>
        <v>-0.63878788756683724</v>
      </c>
      <c r="DV103" s="46"/>
      <c r="DW103" s="43">
        <f>_xlfn.STDEV.P(BF103:BI103)</f>
        <v>0.16437381178277774</v>
      </c>
      <c r="DX103" s="76">
        <f ca="1">BO103-$DT$2</f>
        <v>0.2295999999999998</v>
      </c>
      <c r="DY103" s="76">
        <f ca="1">BO103-BP103*100</f>
        <v>1.5036999999999998</v>
      </c>
      <c r="DZ103" s="101"/>
      <c r="EA103" s="100">
        <v>-0.48260000000000036</v>
      </c>
      <c r="EB103" s="107">
        <v>-1.6452000000000004</v>
      </c>
      <c r="EC103" s="107">
        <v>-1.1852</v>
      </c>
      <c r="ED103" s="98">
        <f t="shared" ca="1" si="93"/>
        <v>-1.2741</v>
      </c>
      <c r="EE103" s="66"/>
      <c r="EF103" s="66"/>
      <c r="EH103" s="2" t="e" vm="103">
        <v>#VALUE!</v>
      </c>
      <c r="EJ103" s="10" cm="1">
        <f t="array" aca="1" ref="EJ103" ca="1">_FV(EH103,"Ações em circulação",TRUE)</f>
        <v>1360383000</v>
      </c>
      <c r="EK103" s="21">
        <f>VLOOKUP(BK103,Fundamentus!A:U,5,FALSE)</f>
        <v>3.512</v>
      </c>
      <c r="EL103" s="2">
        <f ca="1">(BJ103*EJ103)/EK103</f>
        <v>1394470045.5580866</v>
      </c>
      <c r="EM103" s="20">
        <v>-514870103.74886107</v>
      </c>
      <c r="EN103" s="20">
        <f t="shared" ca="1" si="94"/>
        <v>-513443870.77448756</v>
      </c>
      <c r="EP103" s="19">
        <f t="shared" ca="1" si="89"/>
        <v>-2.7700831024929373E-3</v>
      </c>
      <c r="EQ103" s="40" t="str">
        <f>IF(VLOOKUP(BK103,Fundamentus!A:U,3,FALSE)&lt;15,"Bom",IF(VLOOKUP(BK103,Fundamentus!A:U,3,FALSE)&gt;15,"Ruim","n/a"))</f>
        <v>Bom</v>
      </c>
      <c r="ER103" s="36" t="str">
        <f>IF(VLOOKUP(BK103,Fundamentus!A:U,4,FALSE)&lt;1,"Baixo",IF(VLOOKUP(BK103,Fundamentus!A:U,4,FALSE)&lt;1.5,"Moderado",IF(VLOOKUP(BK103,Fundamentus!A:U,4,FALSE)&gt;1.5,"Alto","n/a")))</f>
        <v>Alto</v>
      </c>
      <c r="ES103" s="20" t="str">
        <f>IF(VLOOKUP(BK103,Fundamentus!A:U,8,FALSE)&lt;0,"Risco elevado",IF(VLOOKUP(BK103,Fundamentus!A:U,8,FALSE)&lt;1,"Saudável",IF(VLOOKUP(BK103,Fundamentus!A:U,8,FALSE)&lt;3,"Estável",IF(VLOOKUP(BK103,Fundamentus!A:U,8,FALSE)&gt;3,"Alerta","n/a"))))</f>
        <v>Alerta</v>
      </c>
      <c r="ET103" s="36" t="str">
        <f t="shared" si="95"/>
        <v>Bom</v>
      </c>
      <c r="EU103" s="20" t="str">
        <f>IF(VLOOKUP(BK103,Fundamentus!A:U,12,FALSE)&lt;2,"Subvalorizada",IF(VLOOKUP(BK103,Fundamentus!A:U,12,FALSE)&lt;6,"Muita barata",IF(VLOOKUP(BK103,Fundamentus!A:U,12,FALSE)&lt;6,"Barata",IF(VLOOKUP(BK103,Fundamentus!A:U,12,FALSE)&lt;8,"Atrativa",IF(VLOOKUP(BK103,Fundamentus!A:U,12,FALSE)&gt;8,"Supervalorizada","n/a")))))</f>
        <v>Supervalorizada</v>
      </c>
      <c r="EW103" s="20" t="str">
        <f>IF(VLOOKUP(BK103,Fundamentus!A:U,17,FALSE)&lt;0.1,"Fraco retorno",IF(VLOOKUP(BK103,Fundamentus!A:U,17,FALSE)&gt;0.1,"Bom retorno","n/a"))</f>
        <v>Fraco retorno</v>
      </c>
      <c r="EX103" s="20" t="str">
        <f>IF(VLOOKUP(BK103,Fundamentus!A:U,16,FALSE)&lt;0.1,"Ineficiente",IF(VLOOKUP(BK103,Fundamentus!A:U,16,FALSE)&gt;0.1,"Eficiente","n/a"))</f>
        <v>Ineficiente</v>
      </c>
      <c r="EY103" s="41" t="str">
        <f>IF(VLOOKUP(BK103,Fundamentus!A:U,16,FALSE)&lt;0.1,"Oper. Ineficiente",IF(VLOOKUP(BK103,Fundamentus!A:U,16,FALSE)&gt;0.1,"Oper.Eficiente","n/a"))</f>
        <v>Oper. Ineficiente</v>
      </c>
      <c r="EZ103" s="42">
        <f>VLOOKUP(BK103,Fundamentus!A:U,14,FALSE)</f>
        <v>-0.36820000000000003</v>
      </c>
      <c r="FA103" s="20" t="str">
        <f>IF(VLOOKUP(BK103,Fundamentus!A:U,21,FALSE)&lt;0,"Negativo",IF(VLOOKUP(BK103,Fundamentus!A:U,21,FALSE)&lt;0.05,"Fraco",IF(VLOOKUP(BK103,Fundamentus!A:U,21,FALSE)&lt;0.1,"Bom",IF(VLOOKUP(BK103,Fundamentus!A:U,21,FALSE)&gt;0.1,"Muito bom","n/a"))))</f>
        <v>Fraco</v>
      </c>
      <c r="FC103" s="37" t="str">
        <f>IF(VLOOKUP(BK103,Fundamentus!A:U,15,FALSE)&gt;1,"Bom",IF(VLOOKUP(BK103,Fundamentus!A:U,15,FALSE)&lt;1,"Ruim","n/a"))</f>
        <v>Bom</v>
      </c>
      <c r="FD103" s="20" t="str">
        <f>IF(VLOOKUP(BK103,Fundamentus!A:U,20,FALSE)&lt;0.5,"Baixa",IF(VLOOKUP(BK103,Fundamentus!A:U,20,FALSE)&lt;1,"Moderada",IF(VLOOKUP(BK103,Fundamentus!A:U,20,FALSE)&lt;2,"Alerta",IF(VLOOKUP(BK103,Fundamentus!A:U,20,FALSE)&gt;2,"Alta","n/a"))))</f>
        <v>Alta</v>
      </c>
      <c r="FE103" s="10"/>
    </row>
    <row r="104" spans="1:161" s="2" customFormat="1" ht="11.25" hidden="1"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8">
        <v>13.4</v>
      </c>
      <c r="BC104" s="62">
        <v>13.24</v>
      </c>
      <c r="BD104" s="62">
        <v>13.47</v>
      </c>
      <c r="BE104" s="62">
        <v>13.48</v>
      </c>
      <c r="BF104" s="62">
        <v>13.35</v>
      </c>
      <c r="BG104" s="81">
        <v>13.37</v>
      </c>
      <c r="BH104" s="62">
        <v>13.51</v>
      </c>
      <c r="BI104" s="62">
        <v>13.51</v>
      </c>
      <c r="BJ104" s="62" cm="1">
        <f t="array" aca="1" ref="BJ104" ca="1">_FV(EH104,"Preço")</f>
        <v>13.74</v>
      </c>
      <c r="BK104" s="83" t="s">
        <v>101</v>
      </c>
      <c r="BL104" s="44" cm="1">
        <f t="array" aca="1" ref="BL104" ca="1">_FV(EH104,"Média de volume",TRUE)</f>
        <v>6584480</v>
      </c>
      <c r="BM104" s="44">
        <v>5900300</v>
      </c>
      <c r="BN104" s="44" cm="1">
        <f t="array" aca="1" ref="BN104" ca="1">_FV(EH104,"Volume")</f>
        <v>2606000</v>
      </c>
      <c r="BO104" s="32" cm="1">
        <f t="array" aca="1" ref="BO104" ca="1">_FV(EH104,"Beta")</f>
        <v>1.0192000000000001</v>
      </c>
      <c r="BP104" s="86" cm="1">
        <f t="array" aca="1" ref="BP104" ca="1">_FV(EH104,"Variação (%)",TRUE)</f>
        <v>1.7023999999999997E-2</v>
      </c>
      <c r="BQ104" s="48"/>
      <c r="BR104" s="48"/>
      <c r="BT104" s="20" cm="1">
        <f t="array" aca="1" ref="BT104" ca="1">_FV(EH104,"Baixo")</f>
        <v>13.56</v>
      </c>
      <c r="BU104" s="20" cm="1">
        <f t="array" aca="1" ref="BU104" ca="1">_FV(EH104,"Alto")</f>
        <v>13.94</v>
      </c>
      <c r="BV104" s="32"/>
      <c r="BW104" s="73" t="e">
        <f ca="1">SQRT(22.5*(BJ104/VLOOKUP(BK104,Fundamentus!A:U,3,FALSE))*(BJ104/VLOOKUP(BK104,Fundamentus!A:U,4,FALSE)))</f>
        <v>#N/A</v>
      </c>
      <c r="BY104" s="72">
        <f t="shared" ca="1" si="90"/>
        <v>1.7024426350851253E-2</v>
      </c>
      <c r="BZ104" s="8"/>
      <c r="CA104" s="71">
        <f t="shared" si="98"/>
        <v>10.1</v>
      </c>
      <c r="CB104" s="71">
        <f t="shared" si="91"/>
        <v>13.6</v>
      </c>
      <c r="CC104" s="71">
        <f t="shared" si="99"/>
        <v>12.17147540983607</v>
      </c>
      <c r="CD104" s="17"/>
      <c r="CE104" s="43">
        <f t="shared" si="96"/>
        <v>13.439334808266837</v>
      </c>
      <c r="CF104" s="18">
        <f>FORECAST("04/07/2025", BF104:BI104, $BF$5:$BI$5)</f>
        <v>13.590000000000032</v>
      </c>
      <c r="CG104" s="43">
        <f t="shared" si="97"/>
        <v>13.740665191733227</v>
      </c>
      <c r="CI104" s="17"/>
      <c r="CJ104" s="20">
        <f>CA104-2*(CB104-CM104)</f>
        <v>7.7066666666666688</v>
      </c>
      <c r="CK104" s="20">
        <f>CM104-(CB104-CA104)</f>
        <v>8.9033333333333342</v>
      </c>
      <c r="CL104" s="20">
        <f>2*CM104-CB104</f>
        <v>11.206666666666669</v>
      </c>
      <c r="CM104" s="48">
        <f>(CB104+CA104+BI104)/3</f>
        <v>12.403333333333334</v>
      </c>
      <c r="CN104" s="20">
        <f>2*CM104-CA104</f>
        <v>14.706666666666669</v>
      </c>
      <c r="CO104" s="20">
        <f>CM104+(CB104-CA104)</f>
        <v>15.903333333333334</v>
      </c>
      <c r="CP104" s="20">
        <f>CB104+2*(CM104-CA104)</f>
        <v>18.206666666666671</v>
      </c>
      <c r="CQ104" s="2" cm="1">
        <f t="array" aca="1" ref="CQ104" ca="1">MAX(_xlfn._xlws.FILTER(CJ104:CP104,CJ104:CP104&lt;BJ104))</f>
        <v>12.403333333333334</v>
      </c>
      <c r="CR104" s="2" cm="1">
        <f t="array" aca="1" ref="CR104" ca="1">MIN(_xlfn._xlws.FILTER($CJ104:$CP104,$CJ104:$CP104&gt;BJ104))</f>
        <v>14.706666666666669</v>
      </c>
      <c r="CS104" s="19">
        <f t="shared" ca="1" si="100"/>
        <v>0.18570276807309871</v>
      </c>
      <c r="CT104" s="23">
        <f t="shared" ca="1" si="101"/>
        <v>-9.2851384036549356E-2</v>
      </c>
      <c r="CU104" s="23">
        <f t="shared" ca="1" si="102"/>
        <v>-6.1900922691032902E-2</v>
      </c>
      <c r="CV104" s="23">
        <f t="shared" ca="1" si="103"/>
        <v>-3.7140553614619744E-2</v>
      </c>
      <c r="CW104" s="23">
        <f t="shared" ca="1" si="104"/>
        <v>-2.0633640897010967E-2</v>
      </c>
      <c r="CX104" s="23">
        <f t="shared" ca="1" si="105"/>
        <v>-1.0923692239594041E-2</v>
      </c>
      <c r="CY104" s="23">
        <f t="shared" ca="1" si="106"/>
        <v>-5.6273566082757189E-3</v>
      </c>
      <c r="CZ104" s="23">
        <f t="shared" ca="1" si="107"/>
        <v>-2.8569656626630572E-3</v>
      </c>
      <c r="DA104" s="24">
        <f t="shared" ca="1" si="108"/>
        <v>2.8569656626630572E-3</v>
      </c>
      <c r="DB104" s="24">
        <f t="shared" ca="1" si="109"/>
        <v>5.6273566082757189E-3</v>
      </c>
      <c r="DC104" s="24">
        <f t="shared" ca="1" si="110"/>
        <v>1.0923692239594041E-2</v>
      </c>
      <c r="DD104" s="24">
        <f t="shared" ca="1" si="111"/>
        <v>2.0633640897010967E-2</v>
      </c>
      <c r="DE104" s="24">
        <f t="shared" ca="1" si="112"/>
        <v>3.7140553614619744E-2</v>
      </c>
      <c r="DF104" s="24">
        <f t="shared" ca="1" si="113"/>
        <v>6.1900922691032902E-2</v>
      </c>
      <c r="DG104" s="24">
        <f t="shared" ca="1" si="114"/>
        <v>9.2851384036549356E-2</v>
      </c>
      <c r="DI104" s="19" cm="1">
        <f t="array" aca="1" ref="DI104" ca="1">MAX(_xlfn._xlws.FILTER(CT104:DG104,CT104:DG104&lt;BP104))</f>
        <v>1.0923692239594041E-2</v>
      </c>
      <c r="DJ104" s="19" cm="1">
        <f t="array" aca="1" ref="DJ104" ca="1">MIN(_xlfn._xlws.FILTER(CT104:DG104,CT104:DG104&gt;BP104))</f>
        <v>2.0633640897010967E-2</v>
      </c>
      <c r="DK104" s="2" cm="1">
        <f t="array" aca="1" ref="DK104" ca="1">_FV(EH104,"Fechamento anterior",TRUE)</f>
        <v>13.51</v>
      </c>
      <c r="DL104" s="36">
        <f ca="1">(BJ104-DM104)/(DN104-DM104)</f>
        <v>0.62829725743165266</v>
      </c>
      <c r="DM104" s="18">
        <f t="shared" ca="1" si="115"/>
        <v>13.657579082156916</v>
      </c>
      <c r="DN104" s="18">
        <f t="shared" ca="1" si="116"/>
        <v>13.788760488518617</v>
      </c>
      <c r="DO104" s="9"/>
      <c r="DP104" s="9"/>
      <c r="DQ104" s="94">
        <v>8.8221845665563889E-3</v>
      </c>
      <c r="DR104" s="94">
        <v>8.8221845665563889E-3</v>
      </c>
      <c r="DS104" s="94">
        <v>5.6193065095142243E-3</v>
      </c>
      <c r="DT104" s="94">
        <f t="shared" ca="1" si="92"/>
        <v>9.7099486574169259E-3</v>
      </c>
      <c r="DU104" s="87">
        <f ca="1">(BJ104-CF104)/(CF104-CE104)</f>
        <v>0.99558496739974101</v>
      </c>
      <c r="DV104" s="46"/>
      <c r="DW104" s="43">
        <f>_xlfn.STDEV.P(BF104:BI104)</f>
        <v>7.5332595866596977E-2</v>
      </c>
      <c r="DX104" s="76">
        <f ca="1">BO104-$DT$2</f>
        <v>2.2100000000000009E-2</v>
      </c>
      <c r="DY104" s="76">
        <f ca="1">BO104-BP104*100</f>
        <v>-0.68319999999999959</v>
      </c>
      <c r="DZ104" s="101"/>
      <c r="EA104" s="100">
        <v>0.8861</v>
      </c>
      <c r="EB104" s="107">
        <v>-0.14499999999999957</v>
      </c>
      <c r="EC104" s="107">
        <v>-0.48089999999999988</v>
      </c>
      <c r="ED104" s="98">
        <f t="shared" ca="1" si="93"/>
        <v>0.70529999999999959</v>
      </c>
      <c r="EE104" s="66"/>
      <c r="EF104" s="66"/>
      <c r="EH104" s="2" t="e" vm="104">
        <v>#VALUE!</v>
      </c>
      <c r="EJ104" s="10" cm="1">
        <f t="array" aca="1" ref="EJ104" ca="1">_FV(EH104,"Ações em circulação",TRUE)</f>
        <v>2020000000</v>
      </c>
      <c r="EK104" s="21" t="e">
        <f>VLOOKUP(BK104,Fundamentus!A:U,5,FALSE)</f>
        <v>#N/A</v>
      </c>
      <c r="EL104" s="2" t="e">
        <f ca="1">(BJ104*EJ104)/EK104</f>
        <v>#N/A</v>
      </c>
      <c r="EM104" s="20" t="e">
        <v>#N/A</v>
      </c>
      <c r="EN104" s="20" t="e">
        <f t="shared" ca="1" si="94"/>
        <v>#N/A</v>
      </c>
      <c r="EP104" s="19" t="e">
        <f t="shared" ca="1" si="89"/>
        <v>#N/A</v>
      </c>
      <c r="EQ104" s="40" t="e">
        <f>IF(VLOOKUP(BK104,Fundamentus!A:U,3,FALSE)&lt;15,"Bom",IF(VLOOKUP(BK104,Fundamentus!A:U,3,FALSE)&gt;15,"Ruim","n/a"))</f>
        <v>#N/A</v>
      </c>
      <c r="ER104" s="36" t="e">
        <f>IF(VLOOKUP(BK104,Fundamentus!A:U,4,FALSE)&lt;1,"Baixo",IF(VLOOKUP(BK104,Fundamentus!A:U,4,FALSE)&lt;1.5,"Moderado",IF(VLOOKUP(BK104,Fundamentus!A:U,4,FALSE)&gt;1.5,"Alto","n/a")))</f>
        <v>#N/A</v>
      </c>
      <c r="ES104" s="20" t="e">
        <f>IF(VLOOKUP(BK104,Fundamentus!A:U,8,FALSE)&lt;0,"Risco elevado",IF(VLOOKUP(BK104,Fundamentus!A:U,8,FALSE)&lt;1,"Saudável",IF(VLOOKUP(BK104,Fundamentus!A:U,8,FALSE)&lt;3,"Estável",IF(VLOOKUP(BK104,Fundamentus!A:U,8,FALSE)&gt;3,"Alerta","n/a"))))</f>
        <v>#N/A</v>
      </c>
      <c r="ET104" s="36" t="e">
        <f t="shared" si="95"/>
        <v>#N/A</v>
      </c>
      <c r="EU104" s="20" t="e">
        <f>IF(VLOOKUP(BK104,Fundamentus!A:U,12,FALSE)&lt;2,"Subvalorizada",IF(VLOOKUP(BK104,Fundamentus!A:U,12,FALSE)&lt;6,"Muita barata",IF(VLOOKUP(BK104,Fundamentus!A:U,12,FALSE)&lt;6,"Barata",IF(VLOOKUP(BK104,Fundamentus!A:U,12,FALSE)&lt;8,"Atrativa",IF(VLOOKUP(BK104,Fundamentus!A:U,12,FALSE)&gt;8,"Supervalorizada","n/a")))))</f>
        <v>#N/A</v>
      </c>
      <c r="EW104" s="20" t="e">
        <f>IF(VLOOKUP(BK104,Fundamentus!A:U,17,FALSE)&lt;0.1,"Fraco retorno",IF(VLOOKUP(BK104,Fundamentus!A:U,17,FALSE)&gt;0.1,"Bom retorno","n/a"))</f>
        <v>#N/A</v>
      </c>
      <c r="EX104" s="20" t="e">
        <f>IF(VLOOKUP(BK104,Fundamentus!A:U,16,FALSE)&lt;0.1,"Ineficiente",IF(VLOOKUP(BK104,Fundamentus!A:U,16,FALSE)&gt;0.1,"Eficiente","n/a"))</f>
        <v>#N/A</v>
      </c>
      <c r="EY104" s="41" t="e">
        <f>IF(VLOOKUP(BK104,Fundamentus!A:U,16,FALSE)&lt;0.1,"Oper. Ineficiente",IF(VLOOKUP(BK104,Fundamentus!A:U,16,FALSE)&gt;0.1,"Oper.Eficiente","n/a"))</f>
        <v>#N/A</v>
      </c>
      <c r="EZ104" s="42" t="e">
        <f>VLOOKUP(BK104,Fundamentus!A:U,14,FALSE)</f>
        <v>#N/A</v>
      </c>
      <c r="FA104" s="20" t="e">
        <f>IF(VLOOKUP(BK104,Fundamentus!A:U,21,FALSE)&lt;0,"Negativo",IF(VLOOKUP(BK104,Fundamentus!A:U,21,FALSE)&lt;0.05,"Fraco",IF(VLOOKUP(BK104,Fundamentus!A:U,21,FALSE)&lt;0.1,"Bom",IF(VLOOKUP(BK104,Fundamentus!A:U,21,FALSE)&gt;0.1,"Muito bom","n/a"))))</f>
        <v>#N/A</v>
      </c>
      <c r="FC104" s="37" t="e">
        <f>IF(VLOOKUP(BK104,Fundamentus!A:U,15,FALSE)&gt;1,"Bom",IF(VLOOKUP(BK104,Fundamentus!A:U,15,FALSE)&lt;1,"Ruim","n/a"))</f>
        <v>#N/A</v>
      </c>
      <c r="FD104" s="20" t="e">
        <f>IF(VLOOKUP(BK104,Fundamentus!A:U,20,FALSE)&lt;0.5,"Baixa",IF(VLOOKUP(BK104,Fundamentus!A:U,20,FALSE)&lt;1,"Moderada",IF(VLOOKUP(BK104,Fundamentus!A:U,20,FALSE)&lt;2,"Alerta",IF(VLOOKUP(BK104,Fundamentus!A:U,20,FALSE)&gt;2,"Alta","n/a"))))</f>
        <v>#N/A</v>
      </c>
      <c r="FE104" s="10"/>
    </row>
    <row r="105" spans="1:161" s="2" customFormat="1" ht="11.25" hidden="1"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8">
        <v>3.26</v>
      </c>
      <c r="BC105" s="62">
        <v>3.2</v>
      </c>
      <c r="BD105" s="62">
        <v>3.53</v>
      </c>
      <c r="BE105" s="62">
        <v>3.41</v>
      </c>
      <c r="BF105" s="62">
        <v>3.44</v>
      </c>
      <c r="BG105" s="81">
        <v>3.33</v>
      </c>
      <c r="BH105" s="62">
        <v>3.29</v>
      </c>
      <c r="BI105" s="62">
        <v>3.27</v>
      </c>
      <c r="BJ105" s="62" cm="1">
        <f t="array" aca="1" ref="BJ105" ca="1">_FV(EH105,"Preço")</f>
        <v>3.27</v>
      </c>
      <c r="BK105" s="83" t="s">
        <v>102</v>
      </c>
      <c r="BL105" s="44" cm="1">
        <f t="array" aca="1" ref="BL105" ca="1">_FV(EH105,"Média de volume",TRUE)</f>
        <v>501200</v>
      </c>
      <c r="BM105" s="44">
        <v>297900</v>
      </c>
      <c r="BN105" s="44" cm="1">
        <f t="array" aca="1" ref="BN105" ca="1">_FV(EH105,"Volume")</f>
        <v>226100</v>
      </c>
      <c r="BO105" s="32" cm="1">
        <f t="array" aca="1" ref="BO105" ca="1">_FV(EH105,"Beta")</f>
        <v>0.95509999999999995</v>
      </c>
      <c r="BP105" s="86" cm="1">
        <f t="array" aca="1" ref="BP105" ca="1">_FV(EH105,"Variação (%)",TRUE)</f>
        <v>0</v>
      </c>
      <c r="BQ105" s="48"/>
      <c r="BR105" s="48"/>
      <c r="BT105" s="20" cm="1">
        <f t="array" aca="1" ref="BT105" ca="1">_FV(EH105,"Baixo")</f>
        <v>3.22</v>
      </c>
      <c r="BU105" s="20" cm="1">
        <f t="array" aca="1" ref="BU105" ca="1">_FV(EH105,"Alto")</f>
        <v>3.3</v>
      </c>
      <c r="BV105" s="32"/>
      <c r="BW105" s="73">
        <f ca="1">SQRT(22.5*(BJ105/VLOOKUP(BK105,Fundamentus!A:U,3,FALSE))*(BJ105/VLOOKUP(BK105,Fundamentus!A:U,4,FALSE)))</f>
        <v>5.5031480120354752</v>
      </c>
      <c r="BY105" s="72">
        <f t="shared" ca="1" si="90"/>
        <v>0</v>
      </c>
      <c r="BZ105" s="8"/>
      <c r="CA105" s="71">
        <f t="shared" si="98"/>
        <v>3.2</v>
      </c>
      <c r="CB105" s="71">
        <f t="shared" si="91"/>
        <v>4.54</v>
      </c>
      <c r="CC105" s="71">
        <f t="shared" si="99"/>
        <v>3.5777868852459025</v>
      </c>
      <c r="CD105" s="17"/>
      <c r="CE105" s="43">
        <f t="shared" si="96"/>
        <v>3.0635656057190439</v>
      </c>
      <c r="CF105" s="18">
        <f>FORECAST("04/07/2025", BF105:BI105, $BF$5:$BI$5)</f>
        <v>3.1949999999999932</v>
      </c>
      <c r="CG105" s="43">
        <f t="shared" si="97"/>
        <v>3.3264343942809425</v>
      </c>
      <c r="CI105" s="17"/>
      <c r="CJ105" s="20">
        <f>CA105-2*(CB105-CM105)</f>
        <v>1.46</v>
      </c>
      <c r="CK105" s="20">
        <f>CM105-(CB105-CA105)</f>
        <v>2.33</v>
      </c>
      <c r="CL105" s="20">
        <f>2*CM105-CB105</f>
        <v>2.8</v>
      </c>
      <c r="CM105" s="48">
        <f>(CB105+CA105+BI105)/3</f>
        <v>3.67</v>
      </c>
      <c r="CN105" s="20">
        <f>2*CM105-CA105</f>
        <v>4.1399999999999997</v>
      </c>
      <c r="CO105" s="20">
        <f>CM105+(CB105-CA105)</f>
        <v>5.01</v>
      </c>
      <c r="CP105" s="20">
        <f>CB105+2*(CM105-CA105)</f>
        <v>5.4799999999999995</v>
      </c>
      <c r="CQ105" s="2" cm="1">
        <f t="array" aca="1" ref="CQ105" ca="1">MAX(_xlfn._xlws.FILTER(CJ105:CP105,CJ105:CP105&lt;BJ105))</f>
        <v>2.8</v>
      </c>
      <c r="CR105" s="2" cm="1">
        <f t="array" aca="1" ref="CR105" ca="1">MIN(_xlfn._xlws.FILTER($CJ105:$CP105,$CJ105:$CP105&gt;BJ105))</f>
        <v>3.67</v>
      </c>
      <c r="CS105" s="19">
        <f t="shared" ca="1" si="100"/>
        <v>0.31071428571428572</v>
      </c>
      <c r="CT105" s="23">
        <f t="shared" ca="1" si="101"/>
        <v>-0.15535714285714286</v>
      </c>
      <c r="CU105" s="23">
        <f t="shared" ca="1" si="102"/>
        <v>-0.10357142857142858</v>
      </c>
      <c r="CV105" s="23">
        <f t="shared" ca="1" si="103"/>
        <v>-6.2142857142857146E-2</v>
      </c>
      <c r="CW105" s="23">
        <f t="shared" ca="1" si="104"/>
        <v>-3.4523809523809526E-2</v>
      </c>
      <c r="CX105" s="23">
        <f t="shared" ca="1" si="105"/>
        <v>-1.8277310924369749E-2</v>
      </c>
      <c r="CY105" s="23">
        <f t="shared" ca="1" si="106"/>
        <v>-9.4155844155844153E-3</v>
      </c>
      <c r="CZ105" s="23">
        <f t="shared" ca="1" si="107"/>
        <v>-4.7802197802197799E-3</v>
      </c>
      <c r="DA105" s="24">
        <f t="shared" ca="1" si="108"/>
        <v>4.7802197802197799E-3</v>
      </c>
      <c r="DB105" s="24">
        <f t="shared" ca="1" si="109"/>
        <v>9.4155844155844153E-3</v>
      </c>
      <c r="DC105" s="24">
        <f t="shared" ca="1" si="110"/>
        <v>1.8277310924369749E-2</v>
      </c>
      <c r="DD105" s="24">
        <f t="shared" ca="1" si="111"/>
        <v>3.4523809523809526E-2</v>
      </c>
      <c r="DE105" s="24">
        <f t="shared" ca="1" si="112"/>
        <v>6.2142857142857146E-2</v>
      </c>
      <c r="DF105" s="24">
        <f t="shared" ca="1" si="113"/>
        <v>0.10357142857142858</v>
      </c>
      <c r="DG105" s="24">
        <f t="shared" ca="1" si="114"/>
        <v>0.15535714285714286</v>
      </c>
      <c r="DI105" s="19" cm="1">
        <f t="array" aca="1" ref="DI105" ca="1">MAX(_xlfn._xlws.FILTER(CT105:DG105,CT105:DG105&lt;BP105))</f>
        <v>-4.7802197802197799E-3</v>
      </c>
      <c r="DJ105" s="19" cm="1">
        <f t="array" aca="1" ref="DJ105" ca="1">MIN(_xlfn._xlws.FILTER(CT105:DG105,CT105:DG105&gt;BP105))</f>
        <v>4.7802197802197799E-3</v>
      </c>
      <c r="DK105" s="2" cm="1">
        <f t="array" aca="1" ref="DK105" ca="1">_FV(EH105,"Fechamento anterior",TRUE)</f>
        <v>3.27</v>
      </c>
      <c r="DL105" s="36">
        <f ca="1">(BJ105-DM105)/(DN105-DM105)</f>
        <v>0.5</v>
      </c>
      <c r="DM105" s="18">
        <f t="shared" ca="1" si="115"/>
        <v>3.2543686813186814</v>
      </c>
      <c r="DN105" s="18">
        <f t="shared" ca="1" si="116"/>
        <v>3.2856313186813186</v>
      </c>
      <c r="DO105" s="9"/>
      <c r="DP105" s="9"/>
      <c r="DQ105" s="94">
        <v>9.9832371018811709E-3</v>
      </c>
      <c r="DR105" s="94">
        <v>9.2536244081608005E-3</v>
      </c>
      <c r="DS105" s="94">
        <v>8.5360648740930457E-3</v>
      </c>
      <c r="DT105" s="94">
        <f t="shared" ca="1" si="92"/>
        <v>9.5604395604395598E-3</v>
      </c>
      <c r="DU105" s="87">
        <f ca="1">(BJ105-CF105)/(CF105-CE105)</f>
        <v>0.57062689268145161</v>
      </c>
      <c r="DV105" s="46"/>
      <c r="DW105" s="43">
        <f>_xlfn.STDEV.P(BF105:BI105)</f>
        <v>6.5717197140474554E-2</v>
      </c>
      <c r="DX105" s="76">
        <f ca="1">BO105-$DT$2</f>
        <v>-4.2000000000000148E-2</v>
      </c>
      <c r="DY105" s="76">
        <f ca="1">BO105-BP105*100</f>
        <v>0.95509999999999995</v>
      </c>
      <c r="DZ105" s="101"/>
      <c r="EA105" s="100">
        <v>0.90290000000000004</v>
      </c>
      <c r="EB105" s="107">
        <v>4.070000000000018E-2</v>
      </c>
      <c r="EC105" s="107">
        <v>1.1067999999999998</v>
      </c>
      <c r="ED105" s="98">
        <f t="shared" ca="1" si="93"/>
        <v>-0.9971000000000001</v>
      </c>
      <c r="EE105" s="66"/>
      <c r="EF105" s="66"/>
      <c r="EH105" s="2" t="e" vm="105">
        <v>#VALUE!</v>
      </c>
      <c r="EJ105" s="10" cm="1">
        <f t="array" aca="1" ref="EJ105" ca="1">_FV(EH105,"Ações em circulação",TRUE)</f>
        <v>206269300</v>
      </c>
      <c r="EK105" s="21">
        <f>VLOOKUP(BK105,Fundamentus!A:U,5,FALSE)</f>
        <v>0.68100000000000005</v>
      </c>
      <c r="EL105" s="2">
        <f ca="1">(BJ105*EJ105)/EK105</f>
        <v>990456110.13215852</v>
      </c>
      <c r="EM105" s="20">
        <v>113506270.22114536</v>
      </c>
      <c r="EN105" s="20">
        <f t="shared" ca="1" si="94"/>
        <v>113506270.22114536</v>
      </c>
      <c r="EP105" s="19">
        <f t="shared" ca="1" si="89"/>
        <v>0</v>
      </c>
      <c r="EQ105" s="40" t="str">
        <f>IF(VLOOKUP(BK105,Fundamentus!A:U,3,FALSE)&lt;15,"Bom",IF(VLOOKUP(BK105,Fundamentus!A:U,3,FALSE)&gt;15,"Ruim","n/a"))</f>
        <v>Bom</v>
      </c>
      <c r="ER105" s="36" t="str">
        <f>IF(VLOOKUP(BK105,Fundamentus!A:U,4,FALSE)&lt;1,"Baixo",IF(VLOOKUP(BK105,Fundamentus!A:U,4,FALSE)&lt;1.5,"Moderado",IF(VLOOKUP(BK105,Fundamentus!A:U,4,FALSE)&gt;1.5,"Alto","n/a")))</f>
        <v>Baixo</v>
      </c>
      <c r="ES105" s="20" t="str">
        <f>IF(VLOOKUP(BK105,Fundamentus!A:U,8,FALSE)&lt;0,"Risco elevado",IF(VLOOKUP(BK105,Fundamentus!A:U,8,FALSE)&lt;1,"Saudável",IF(VLOOKUP(BK105,Fundamentus!A:U,8,FALSE)&lt;3,"Estável",IF(VLOOKUP(BK105,Fundamentus!A:U,8,FALSE)&gt;3,"Alerta","n/a"))))</f>
        <v>Saudável</v>
      </c>
      <c r="ET105" s="36" t="str">
        <f t="shared" si="95"/>
        <v>Ruim</v>
      </c>
      <c r="EU105" s="20" t="str">
        <f>IF(VLOOKUP(BK105,Fundamentus!A:U,12,FALSE)&lt;2,"Subvalorizada",IF(VLOOKUP(BK105,Fundamentus!A:U,12,FALSE)&lt;6,"Muita barata",IF(VLOOKUP(BK105,Fundamentus!A:U,12,FALSE)&lt;6,"Barata",IF(VLOOKUP(BK105,Fundamentus!A:U,12,FALSE)&lt;8,"Atrativa",IF(VLOOKUP(BK105,Fundamentus!A:U,12,FALSE)&gt;8,"Supervalorizada","n/a")))))</f>
        <v>Supervalorizada</v>
      </c>
      <c r="EW105" s="20" t="str">
        <f>IF(VLOOKUP(BK105,Fundamentus!A:U,17,FALSE)&lt;0.1,"Fraco retorno",IF(VLOOKUP(BK105,Fundamentus!A:U,17,FALSE)&gt;0.1,"Bom retorno","n/a"))</f>
        <v>Fraco retorno</v>
      </c>
      <c r="EX105" s="20" t="str">
        <f>IF(VLOOKUP(BK105,Fundamentus!A:U,16,FALSE)&lt;0.1,"Ineficiente",IF(VLOOKUP(BK105,Fundamentus!A:U,16,FALSE)&gt;0.1,"Eficiente","n/a"))</f>
        <v>Ineficiente</v>
      </c>
      <c r="EY105" s="41" t="str">
        <f>IF(VLOOKUP(BK105,Fundamentus!A:U,16,FALSE)&lt;0.1,"Oper. Ineficiente",IF(VLOOKUP(BK105,Fundamentus!A:U,16,FALSE)&gt;0.1,"Oper.Eficiente","n/a"))</f>
        <v>Oper. Ineficiente</v>
      </c>
      <c r="EZ105" s="42">
        <f>VLOOKUP(BK105,Fundamentus!A:U,14,FALSE)</f>
        <v>0.11459999999999999</v>
      </c>
      <c r="FA105" s="20" t="str">
        <f>IF(VLOOKUP(BK105,Fundamentus!A:U,21,FALSE)&lt;0,"Negativo",IF(VLOOKUP(BK105,Fundamentus!A:U,21,FALSE)&lt;0.05,"Fraco",IF(VLOOKUP(BK105,Fundamentus!A:U,21,FALSE)&lt;0.1,"Bom",IF(VLOOKUP(BK105,Fundamentus!A:U,21,FALSE)&gt;0.1,"Muito bom","n/a"))))</f>
        <v>Muito bom</v>
      </c>
      <c r="FC105" s="37" t="str">
        <f>IF(VLOOKUP(BK105,Fundamentus!A:U,15,FALSE)&gt;1,"Bom",IF(VLOOKUP(BK105,Fundamentus!A:U,15,FALSE)&lt;1,"Ruim","n/a"))</f>
        <v>Bom</v>
      </c>
      <c r="FD105" s="20" t="str">
        <f>IF(VLOOKUP(BK105,Fundamentus!A:U,20,FALSE)&lt;0.5,"Baixa",IF(VLOOKUP(BK105,Fundamentus!A:U,20,FALSE)&lt;1,"Moderada",IF(VLOOKUP(BK105,Fundamentus!A:U,20,FALSE)&lt;2,"Alerta",IF(VLOOKUP(BK105,Fundamentus!A:U,20,FALSE)&gt;2,"Alta","n/a"))))</f>
        <v>Baixa</v>
      </c>
      <c r="FE105" s="10"/>
    </row>
    <row r="106" spans="1:161" s="2" customFormat="1" ht="11.25" hidden="1"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8">
        <v>38.6</v>
      </c>
      <c r="BC106" s="62">
        <v>39.799999999999997</v>
      </c>
      <c r="BD106" s="62">
        <v>40.590000000000003</v>
      </c>
      <c r="BE106" s="62">
        <v>40.49</v>
      </c>
      <c r="BF106" s="62">
        <v>40.520000000000003</v>
      </c>
      <c r="BG106" s="81">
        <v>40.5</v>
      </c>
      <c r="BH106" s="62">
        <v>40.28</v>
      </c>
      <c r="BI106" s="62">
        <v>40.33</v>
      </c>
      <c r="BJ106" s="62" cm="1">
        <f t="array" aca="1" ref="BJ106" ca="1">_FV(EH106,"Preço")</f>
        <v>40.69</v>
      </c>
      <c r="BK106" s="83" t="s">
        <v>103</v>
      </c>
      <c r="BL106" s="44" cm="1">
        <f t="array" aca="1" ref="BL106" ca="1">_FV(EH106,"Média de volume",TRUE)</f>
        <v>1163620</v>
      </c>
      <c r="BM106" s="44">
        <v>557500</v>
      </c>
      <c r="BN106" s="44" cm="1">
        <f t="array" aca="1" ref="BN106" ca="1">_FV(EH106,"Volume")</f>
        <v>481700</v>
      </c>
      <c r="BO106" s="32" cm="1">
        <f t="array" aca="1" ref="BO106" ca="1">_FV(EH106,"Beta")</f>
        <v>0.66749999999999998</v>
      </c>
      <c r="BP106" s="86" cm="1">
        <f t="array" aca="1" ref="BP106" ca="1">_FV(EH106,"Variação (%)",TRUE)</f>
        <v>8.9259999999999999E-3</v>
      </c>
      <c r="BQ106" s="48"/>
      <c r="BR106" s="48"/>
      <c r="BT106" s="20" cm="1">
        <f t="array" aca="1" ref="BT106" ca="1">_FV(EH106,"Baixo")</f>
        <v>40.06</v>
      </c>
      <c r="BU106" s="20" cm="1">
        <f t="array" aca="1" ref="BU106" ca="1">_FV(EH106,"Alto")</f>
        <v>41.07</v>
      </c>
      <c r="BV106" s="32"/>
      <c r="BW106" s="73">
        <f ca="1">SQRT(22.5*(BJ106/VLOOKUP(BK106,Fundamentus!A:U,3,FALSE))*(BJ106/VLOOKUP(BK106,Fundamentus!A:U,4,FALSE)))</f>
        <v>45.026197816337081</v>
      </c>
      <c r="BY106" s="72">
        <f t="shared" ca="1" si="90"/>
        <v>8.9263575502107478E-3</v>
      </c>
      <c r="BZ106" s="8"/>
      <c r="CA106" s="71">
        <f t="shared" si="98"/>
        <v>31</v>
      </c>
      <c r="CB106" s="71">
        <f t="shared" si="91"/>
        <v>40.590000000000003</v>
      </c>
      <c r="CC106" s="71">
        <f t="shared" si="99"/>
        <v>34.79270491803279</v>
      </c>
      <c r="CD106" s="17"/>
      <c r="CE106" s="43">
        <f t="shared" si="96"/>
        <v>40.001493405380103</v>
      </c>
      <c r="CF106" s="18">
        <f>FORECAST("04/07/2025", BF106:BI106, $BF$5:$BI$5)</f>
        <v>40.210000000000036</v>
      </c>
      <c r="CG106" s="43">
        <f t="shared" si="97"/>
        <v>40.41850659461997</v>
      </c>
      <c r="CI106" s="17"/>
      <c r="CJ106" s="20">
        <f>CA106-2*(CB106-CM106)</f>
        <v>24.433333333333323</v>
      </c>
      <c r="CK106" s="20">
        <f>CM106-(CB106-CA106)</f>
        <v>27.716666666666661</v>
      </c>
      <c r="CL106" s="20">
        <f>2*CM106-CB106</f>
        <v>34.023333333333326</v>
      </c>
      <c r="CM106" s="48">
        <f>(CB106+CA106+BI106)/3</f>
        <v>37.306666666666665</v>
      </c>
      <c r="CN106" s="20">
        <f>2*CM106-CA106</f>
        <v>43.61333333333333</v>
      </c>
      <c r="CO106" s="20">
        <f>CM106+(CB106-CA106)</f>
        <v>46.896666666666668</v>
      </c>
      <c r="CP106" s="20">
        <f>CB106+2*(CM106-CA106)</f>
        <v>53.203333333333333</v>
      </c>
      <c r="CQ106" s="2" cm="1">
        <f t="array" aca="1" ref="CQ106" ca="1">MAX(_xlfn._xlws.FILTER(CJ106:CP106,CJ106:CP106&lt;BJ106))</f>
        <v>37.306666666666665</v>
      </c>
      <c r="CR106" s="2" cm="1">
        <f t="array" aca="1" ref="CR106" ca="1">MIN(_xlfn._xlws.FILTER($CJ106:$CP106,$CJ106:$CP106&gt;BJ106))</f>
        <v>43.61333333333333</v>
      </c>
      <c r="CS106" s="19">
        <f t="shared" ca="1" si="100"/>
        <v>0.16904932094353109</v>
      </c>
      <c r="CT106" s="23">
        <f t="shared" ca="1" si="101"/>
        <v>-8.4524660471765545E-2</v>
      </c>
      <c r="CU106" s="23">
        <f t="shared" ca="1" si="102"/>
        <v>-5.6349773647843694E-2</v>
      </c>
      <c r="CV106" s="23">
        <f t="shared" ca="1" si="103"/>
        <v>-3.3809864188706219E-2</v>
      </c>
      <c r="CW106" s="23">
        <f t="shared" ca="1" si="104"/>
        <v>-1.8783257882614566E-2</v>
      </c>
      <c r="CX106" s="23">
        <f t="shared" ca="1" si="105"/>
        <v>-9.9440777025606528E-3</v>
      </c>
      <c r="CY106" s="23">
        <f t="shared" ca="1" si="106"/>
        <v>-5.1227066952585177E-3</v>
      </c>
      <c r="CZ106" s="23">
        <f t="shared" ca="1" si="107"/>
        <v>-2.6007587837466322E-3</v>
      </c>
      <c r="DA106" s="24">
        <f t="shared" ca="1" si="108"/>
        <v>2.6007587837466322E-3</v>
      </c>
      <c r="DB106" s="24">
        <f t="shared" ca="1" si="109"/>
        <v>5.1227066952585177E-3</v>
      </c>
      <c r="DC106" s="24">
        <f t="shared" ca="1" si="110"/>
        <v>9.9440777025606528E-3</v>
      </c>
      <c r="DD106" s="24">
        <f t="shared" ca="1" si="111"/>
        <v>1.8783257882614566E-2</v>
      </c>
      <c r="DE106" s="24">
        <f t="shared" ca="1" si="112"/>
        <v>3.3809864188706219E-2</v>
      </c>
      <c r="DF106" s="24">
        <f t="shared" ca="1" si="113"/>
        <v>5.6349773647843694E-2</v>
      </c>
      <c r="DG106" s="24">
        <f t="shared" ca="1" si="114"/>
        <v>8.4524660471765545E-2</v>
      </c>
      <c r="DI106" s="19" cm="1">
        <f t="array" aca="1" ref="DI106" ca="1">MAX(_xlfn._xlws.FILTER(CT106:DG106,CT106:DG106&lt;BP106))</f>
        <v>5.1227066952585177E-3</v>
      </c>
      <c r="DJ106" s="19" cm="1">
        <f t="array" aca="1" ref="DJ106" ca="1">MIN(_xlfn._xlws.FILTER(CT106:DG106,CT106:DG106&gt;BP106))</f>
        <v>9.9440777025606528E-3</v>
      </c>
      <c r="DK106" s="2" cm="1">
        <f t="array" aca="1" ref="DK106" ca="1">_FV(EH106,"Fechamento anterior",TRUE)</f>
        <v>40.33</v>
      </c>
      <c r="DL106" s="36">
        <f ca="1">(BJ106-DM106)/(DN106-DM106)</f>
        <v>0.78891478154065542</v>
      </c>
      <c r="DM106" s="18">
        <f t="shared" ca="1" si="115"/>
        <v>40.536598761019775</v>
      </c>
      <c r="DN106" s="18">
        <f t="shared" ca="1" si="116"/>
        <v>40.73104465374427</v>
      </c>
      <c r="DO106" s="9"/>
      <c r="DP106" s="9"/>
      <c r="DQ106" s="94">
        <v>1.306515385937769E-2</v>
      </c>
      <c r="DR106" s="94">
        <v>4.5225532590153538E-3</v>
      </c>
      <c r="DS106" s="94">
        <v>2.5407488695917638E-3</v>
      </c>
      <c r="DT106" s="94">
        <f t="shared" ca="1" si="92"/>
        <v>4.8213710073021351E-3</v>
      </c>
      <c r="DU106" s="87">
        <f ca="1">(BJ106-CF106)/(CF106-CE106)</f>
        <v>2.3020854610133874</v>
      </c>
      <c r="DV106" s="46"/>
      <c r="DW106" s="43">
        <f>_xlfn.STDEV.P(BF106:BI106)</f>
        <v>0.10425329730996603</v>
      </c>
      <c r="DX106" s="76">
        <f ca="1">BO106-$DT$2</f>
        <v>-0.32960000000000012</v>
      </c>
      <c r="DY106" s="76">
        <f ca="1">BO106-BP106*100</f>
        <v>-0.22509999999999997</v>
      </c>
      <c r="DZ106" s="101"/>
      <c r="EA106" s="100">
        <v>0.91220000000000012</v>
      </c>
      <c r="EB106" s="107">
        <v>-0.51420000000000021</v>
      </c>
      <c r="EC106" s="107">
        <v>7.6000000000000512E-3</v>
      </c>
      <c r="ED106" s="98">
        <f t="shared" ca="1" si="93"/>
        <v>-0.10450000000000015</v>
      </c>
      <c r="EE106" s="66"/>
      <c r="EF106" s="66"/>
      <c r="EH106" s="2" t="e" vm="106">
        <v>#VALUE!</v>
      </c>
      <c r="EJ106" s="10" cm="1">
        <f t="array" aca="1" ref="EJ106" ca="1">_FV(EH106,"Ações em circulação",TRUE)</f>
        <v>1152254000</v>
      </c>
      <c r="EK106" s="21">
        <f>VLOOKUP(BK106,Fundamentus!A:U,5,FALSE)</f>
        <v>1.0820000000000001</v>
      </c>
      <c r="EL106" s="2">
        <f ca="1">(BJ106*EJ106)/EK106</f>
        <v>43331991922.36599</v>
      </c>
      <c r="EM106" s="20">
        <v>5600499684.0369673</v>
      </c>
      <c r="EN106" s="20">
        <f t="shared" ca="1" si="94"/>
        <v>5650491746.6765242</v>
      </c>
      <c r="EP106" s="19">
        <f t="shared" ca="1" si="89"/>
        <v>8.9263575502107617E-3</v>
      </c>
      <c r="EQ106" s="40" t="str">
        <f>IF(VLOOKUP(BK106,Fundamentus!A:U,3,FALSE)&lt;15,"Bom",IF(VLOOKUP(BK106,Fundamentus!A:U,3,FALSE)&gt;15,"Ruim","n/a"))</f>
        <v>Bom</v>
      </c>
      <c r="ER106" s="36" t="str">
        <f>IF(VLOOKUP(BK106,Fundamentus!A:U,4,FALSE)&lt;1,"Baixo",IF(VLOOKUP(BK106,Fundamentus!A:U,4,FALSE)&lt;1.5,"Moderado",IF(VLOOKUP(BK106,Fundamentus!A:U,4,FALSE)&gt;1.5,"Alto","n/a")))</f>
        <v>Alto</v>
      </c>
      <c r="ES106" s="20" t="str">
        <f>IF(VLOOKUP(BK106,Fundamentus!A:U,8,FALSE)&lt;0,"Risco elevado",IF(VLOOKUP(BK106,Fundamentus!A:U,8,FALSE)&lt;1,"Saudável",IF(VLOOKUP(BK106,Fundamentus!A:U,8,FALSE)&lt;3,"Estável",IF(VLOOKUP(BK106,Fundamentus!A:U,8,FALSE)&gt;3,"Alerta","n/a"))))</f>
        <v>Risco elevado</v>
      </c>
      <c r="ET106" s="36" t="str">
        <f t="shared" si="95"/>
        <v>Bom</v>
      </c>
      <c r="EU106" s="20" t="str">
        <f>IF(VLOOKUP(BK106,Fundamentus!A:U,12,FALSE)&lt;2,"Subvalorizada",IF(VLOOKUP(BK106,Fundamentus!A:U,12,FALSE)&lt;6,"Muita barata",IF(VLOOKUP(BK106,Fundamentus!A:U,12,FALSE)&lt;6,"Barata",IF(VLOOKUP(BK106,Fundamentus!A:U,12,FALSE)&lt;8,"Atrativa",IF(VLOOKUP(BK106,Fundamentus!A:U,12,FALSE)&gt;8,"Supervalorizada","n/a")))))</f>
        <v>Muita barata</v>
      </c>
      <c r="EW106" s="20" t="str">
        <f>IF(VLOOKUP(BK106,Fundamentus!A:U,17,FALSE)&lt;0.1,"Fraco retorno",IF(VLOOKUP(BK106,Fundamentus!A:U,17,FALSE)&gt;0.1,"Bom retorno","n/a"))</f>
        <v>Bom retorno</v>
      </c>
      <c r="EX106" s="20" t="str">
        <f>IF(VLOOKUP(BK106,Fundamentus!A:U,16,FALSE)&lt;0.1,"Ineficiente",IF(VLOOKUP(BK106,Fundamentus!A:U,16,FALSE)&gt;0.1,"Eficiente","n/a"))</f>
        <v>Eficiente</v>
      </c>
      <c r="EY106" s="41" t="str">
        <f>IF(VLOOKUP(BK106,Fundamentus!A:U,16,FALSE)&lt;0.1,"Oper. Ineficiente",IF(VLOOKUP(BK106,Fundamentus!A:U,16,FALSE)&gt;0.1,"Oper.Eficiente","n/a"))</f>
        <v>Oper.Eficiente</v>
      </c>
      <c r="EZ106" s="42">
        <f>VLOOKUP(BK106,Fundamentus!A:U,14,FALSE)</f>
        <v>0.13039999999999999</v>
      </c>
      <c r="FA106" s="20" t="str">
        <f>IF(VLOOKUP(BK106,Fundamentus!A:U,21,FALSE)&lt;0,"Negativo",IF(VLOOKUP(BK106,Fundamentus!A:U,21,FALSE)&lt;0.05,"Fraco",IF(VLOOKUP(BK106,Fundamentus!A:U,21,FALSE)&lt;0.1,"Bom",IF(VLOOKUP(BK106,Fundamentus!A:U,21,FALSE)&gt;0.1,"Muito bom","n/a"))))</f>
        <v>Bom</v>
      </c>
      <c r="FC106" s="37" t="str">
        <f>IF(VLOOKUP(BK106,Fundamentus!A:U,15,FALSE)&gt;1,"Bom",IF(VLOOKUP(BK106,Fundamentus!A:U,15,FALSE)&lt;1,"Ruim","n/a"))</f>
        <v>Ruim</v>
      </c>
      <c r="FD106" s="20" t="str">
        <f>IF(VLOOKUP(BK106,Fundamentus!A:U,20,FALSE)&lt;0.5,"Baixa",IF(VLOOKUP(BK106,Fundamentus!A:U,20,FALSE)&lt;1,"Moderada",IF(VLOOKUP(BK106,Fundamentus!A:U,20,FALSE)&lt;2,"Alerta",IF(VLOOKUP(BK106,Fundamentus!A:U,20,FALSE)&gt;2,"Alta","n/a"))))</f>
        <v>Alerta</v>
      </c>
      <c r="FE106" s="10"/>
    </row>
    <row r="107" spans="1:161" s="2" customFormat="1" ht="11.25" hidden="1"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8">
        <v>116.21</v>
      </c>
      <c r="BC107" s="62">
        <v>116</v>
      </c>
      <c r="BD107" s="62">
        <v>117.06</v>
      </c>
      <c r="BE107" s="62">
        <v>117.38</v>
      </c>
      <c r="BF107" s="62">
        <v>114.96</v>
      </c>
      <c r="BG107" s="81">
        <v>115.11</v>
      </c>
      <c r="BH107" s="62">
        <v>115.65</v>
      </c>
      <c r="BI107" s="62">
        <v>115.05</v>
      </c>
      <c r="BJ107" s="62" cm="1">
        <f t="array" aca="1" ref="BJ107" ca="1">_FV(EH107,"Preço")</f>
        <v>118.43</v>
      </c>
      <c r="BK107" s="83" t="s">
        <v>104</v>
      </c>
      <c r="BL107" s="44" cm="1">
        <f t="array" aca="1" ref="BL107" ca="1">_FV(EH107,"Média de volume",TRUE)</f>
        <v>2494090</v>
      </c>
      <c r="BM107" s="44">
        <v>1597900</v>
      </c>
      <c r="BN107" s="44" cm="1">
        <f t="array" aca="1" ref="BN107" ca="1">_FV(EH107,"Volume")</f>
        <v>1521300</v>
      </c>
      <c r="BO107" s="32" cm="1">
        <f t="array" aca="1" ref="BO107" ca="1">_FV(EH107,"Beta")</f>
        <v>0.85599999999999998</v>
      </c>
      <c r="BP107" s="86" cm="1">
        <f t="array" aca="1" ref="BP107" ca="1">_FV(EH107,"Variação (%)",TRUE)</f>
        <v>2.9378999999999999E-2</v>
      </c>
      <c r="BQ107" s="48"/>
      <c r="BR107" s="48"/>
      <c r="BT107" s="20" cm="1">
        <f t="array" aca="1" ref="BT107" ca="1">_FV(EH107,"Baixo")</f>
        <v>114.27</v>
      </c>
      <c r="BU107" s="20" cm="1">
        <f t="array" aca="1" ref="BU107" ca="1">_FV(EH107,"Alto")</f>
        <v>118.48</v>
      </c>
      <c r="BV107" s="32"/>
      <c r="BW107" s="73">
        <f ca="1">SQRT(22.5*(BJ107/VLOOKUP(BK107,Fundamentus!A:U,3,FALSE))*(BJ107/VLOOKUP(BK107,Fundamentus!A:U,4,FALSE)))</f>
        <v>141.57789399017094</v>
      </c>
      <c r="BY107" s="72">
        <f t="shared" ca="1" si="90"/>
        <v>2.9378531073446412E-2</v>
      </c>
      <c r="BZ107" s="8"/>
      <c r="CA107" s="71">
        <f t="shared" si="98"/>
        <v>73.86</v>
      </c>
      <c r="CB107" s="71">
        <f t="shared" si="91"/>
        <v>117.38</v>
      </c>
      <c r="CC107" s="71">
        <f t="shared" si="99"/>
        <v>94.708770491803307</v>
      </c>
      <c r="CD107" s="17"/>
      <c r="CE107" s="43">
        <f t="shared" si="96"/>
        <v>114.85604267330332</v>
      </c>
      <c r="CF107" s="18">
        <f>FORECAST("04/07/2025", BF107:BI107, $BF$5:$BI$5)</f>
        <v>115.39499999999998</v>
      </c>
      <c r="CG107" s="43">
        <f t="shared" si="97"/>
        <v>115.93395732669664</v>
      </c>
      <c r="CI107" s="17"/>
      <c r="CJ107" s="20">
        <f>CA107-2*(CB107-CM107)</f>
        <v>43.293333333333365</v>
      </c>
      <c r="CK107" s="20">
        <f>CM107-(CB107-CA107)</f>
        <v>58.576666666666682</v>
      </c>
      <c r="CL107" s="20">
        <f>2*CM107-CB107</f>
        <v>86.813333333333361</v>
      </c>
      <c r="CM107" s="48">
        <f>(CB107+CA107+BI107)/3</f>
        <v>102.09666666666668</v>
      </c>
      <c r="CN107" s="20">
        <f>2*CM107-CA107</f>
        <v>130.33333333333337</v>
      </c>
      <c r="CO107" s="20">
        <f>CM107+(CB107-CA107)</f>
        <v>145.61666666666667</v>
      </c>
      <c r="CP107" s="20">
        <f>CB107+2*(CM107-CA107)</f>
        <v>173.85333333333335</v>
      </c>
      <c r="CQ107" s="2" cm="1">
        <f t="array" aca="1" ref="CQ107" ca="1">MAX(_xlfn._xlws.FILTER(CJ107:CP107,CJ107:CP107&lt;BJ107))</f>
        <v>102.09666666666668</v>
      </c>
      <c r="CR107" s="2" cm="1">
        <f t="array" aca="1" ref="CR107" ca="1">MIN(_xlfn._xlws.FILTER($CJ107:$CP107,$CJ107:$CP107&gt;BJ107))</f>
        <v>130.33333333333337</v>
      </c>
      <c r="CS107" s="19">
        <f t="shared" ca="1" si="100"/>
        <v>0.27656795847073057</v>
      </c>
      <c r="CT107" s="23">
        <f t="shared" ca="1" si="101"/>
        <v>-0.13828397923536528</v>
      </c>
      <c r="CU107" s="23">
        <f t="shared" ca="1" si="102"/>
        <v>-9.2189319490243518E-2</v>
      </c>
      <c r="CV107" s="23">
        <f t="shared" ca="1" si="103"/>
        <v>-5.5313591694146111E-2</v>
      </c>
      <c r="CW107" s="23">
        <f t="shared" ca="1" si="104"/>
        <v>-3.0729773163414506E-2</v>
      </c>
      <c r="CX107" s="23">
        <f t="shared" ca="1" si="105"/>
        <v>-1.6268703439454739E-2</v>
      </c>
      <c r="CY107" s="23">
        <f t="shared" ca="1" si="106"/>
        <v>-8.380847226385775E-3</v>
      </c>
      <c r="CZ107" s="23">
        <f t="shared" ca="1" si="107"/>
        <v>-4.2548916687804705E-3</v>
      </c>
      <c r="DA107" s="24">
        <f t="shared" ca="1" si="108"/>
        <v>4.2548916687804705E-3</v>
      </c>
      <c r="DB107" s="24">
        <f t="shared" ca="1" si="109"/>
        <v>8.380847226385775E-3</v>
      </c>
      <c r="DC107" s="24">
        <f t="shared" ca="1" si="110"/>
        <v>1.6268703439454739E-2</v>
      </c>
      <c r="DD107" s="24">
        <f t="shared" ca="1" si="111"/>
        <v>3.0729773163414506E-2</v>
      </c>
      <c r="DE107" s="24">
        <f t="shared" ca="1" si="112"/>
        <v>5.5313591694146111E-2</v>
      </c>
      <c r="DF107" s="24">
        <f t="shared" ca="1" si="113"/>
        <v>9.2189319490243518E-2</v>
      </c>
      <c r="DG107" s="24">
        <f t="shared" ca="1" si="114"/>
        <v>0.13828397923536528</v>
      </c>
      <c r="DI107" s="19" cm="1">
        <f t="array" aca="1" ref="DI107" ca="1">MAX(_xlfn._xlws.FILTER(CT107:DG107,CT107:DG107&lt;BP107))</f>
        <v>1.6268703439454739E-2</v>
      </c>
      <c r="DJ107" s="19" cm="1">
        <f t="array" aca="1" ref="DJ107" ca="1">MIN(_xlfn._xlws.FILTER(CT107:DG107,CT107:DG107&gt;BP107))</f>
        <v>3.0729773163414506E-2</v>
      </c>
      <c r="DK107" s="2" cm="1">
        <f t="array" aca="1" ref="DK107" ca="1">_FV(EH107,"Fechamento anterior",TRUE)</f>
        <v>115.05</v>
      </c>
      <c r="DL107" s="36">
        <f ca="1">(BJ107-DM107)/(DN107-DM107)</f>
        <v>0.90656001832773936</v>
      </c>
      <c r="DM107" s="18">
        <f t="shared" ca="1" si="115"/>
        <v>116.92171433070926</v>
      </c>
      <c r="DN107" s="18">
        <f t="shared" ca="1" si="116"/>
        <v>118.58546040245083</v>
      </c>
      <c r="DO107" s="9"/>
      <c r="DP107" s="9"/>
      <c r="DQ107" s="94">
        <v>7.0836960577042593E-3</v>
      </c>
      <c r="DR107" s="94">
        <v>7.6422182468694026E-3</v>
      </c>
      <c r="DS107" s="94">
        <v>4.1280693084185804E-3</v>
      </c>
      <c r="DT107" s="94">
        <f t="shared" ca="1" si="92"/>
        <v>1.4461069723959767E-2</v>
      </c>
      <c r="DU107" s="87">
        <f ca="1">(BJ107-CF107)/(CF107-CE107)</f>
        <v>5.6312436062460325</v>
      </c>
      <c r="DV107" s="46"/>
      <c r="DW107" s="43">
        <f>_xlfn.STDEV.P(BF107:BI107)</f>
        <v>0.26947866334832943</v>
      </c>
      <c r="DX107" s="76">
        <f ca="1">BO107-$DT$2</f>
        <v>-0.14110000000000011</v>
      </c>
      <c r="DY107" s="76">
        <f ca="1">BO107-BP107*100</f>
        <v>-2.0819000000000001</v>
      </c>
      <c r="DZ107" s="101"/>
      <c r="EA107" s="100">
        <v>1.3019000000000001</v>
      </c>
      <c r="EB107" s="107">
        <v>0.26580000000000004</v>
      </c>
      <c r="EC107" s="107">
        <v>8.5380000000000011E-2</v>
      </c>
      <c r="ED107" s="98">
        <f t="shared" ca="1" si="93"/>
        <v>1.9407999999999999</v>
      </c>
      <c r="EE107" s="66"/>
      <c r="EF107" s="66"/>
      <c r="EH107" s="2" t="e" vm="107">
        <v>#VALUE!</v>
      </c>
      <c r="EJ107" s="10" cm="1">
        <f t="array" aca="1" ref="EJ107" ca="1">_FV(EH107,"Ações em circulação",TRUE)</f>
        <v>683509900</v>
      </c>
      <c r="EK107" s="21">
        <f>VLOOKUP(BK107,Fundamentus!A:U,5,FALSE)</f>
        <v>2.0699999999999998</v>
      </c>
      <c r="EL107" s="2">
        <f ca="1">(BJ107*EJ107)/EK107</f>
        <v>39105351428.502419</v>
      </c>
      <c r="EM107" s="20">
        <v>10234312603.986956</v>
      </c>
      <c r="EN107" s="20">
        <f t="shared" ca="1" si="94"/>
        <v>10534981674.838551</v>
      </c>
      <c r="EP107" s="19">
        <f t="shared" ca="1" si="89"/>
        <v>2.9378531073446457E-2</v>
      </c>
      <c r="EQ107" s="40" t="str">
        <f>IF(VLOOKUP(BK107,Fundamentus!A:U,3,FALSE)&lt;15,"Bom",IF(VLOOKUP(BK107,Fundamentus!A:U,3,FALSE)&gt;15,"Ruim","n/a"))</f>
        <v>Bom</v>
      </c>
      <c r="ER107" s="36" t="str">
        <f>IF(VLOOKUP(BK107,Fundamentus!A:U,4,FALSE)&lt;1,"Baixo",IF(VLOOKUP(BK107,Fundamentus!A:U,4,FALSE)&lt;1.5,"Moderado",IF(VLOOKUP(BK107,Fundamentus!A:U,4,FALSE)&gt;1.5,"Alto","n/a")))</f>
        <v>Alto</v>
      </c>
      <c r="ES107" s="20" t="str">
        <f>IF(VLOOKUP(BK107,Fundamentus!A:U,8,FALSE)&lt;0,"Risco elevado",IF(VLOOKUP(BK107,Fundamentus!A:U,8,FALSE)&lt;1,"Saudável",IF(VLOOKUP(BK107,Fundamentus!A:U,8,FALSE)&lt;3,"Estável",IF(VLOOKUP(BK107,Fundamentus!A:U,8,FALSE)&gt;3,"Alerta","n/a"))))</f>
        <v>Alerta</v>
      </c>
      <c r="ET107" s="36" t="str">
        <f t="shared" si="95"/>
        <v>Bom</v>
      </c>
      <c r="EU107" s="20" t="str">
        <f>IF(VLOOKUP(BK107,Fundamentus!A:U,12,FALSE)&lt;2,"Subvalorizada",IF(VLOOKUP(BK107,Fundamentus!A:U,12,FALSE)&lt;6,"Muita barata",IF(VLOOKUP(BK107,Fundamentus!A:U,12,FALSE)&lt;6,"Barata",IF(VLOOKUP(BK107,Fundamentus!A:U,12,FALSE)&lt;8,"Atrativa",IF(VLOOKUP(BK107,Fundamentus!A:U,12,FALSE)&gt;8,"Supervalorizada","n/a")))))</f>
        <v>Muita barata</v>
      </c>
      <c r="EW107" s="20" t="str">
        <f>IF(VLOOKUP(BK107,Fundamentus!A:U,17,FALSE)&lt;0.1,"Fraco retorno",IF(VLOOKUP(BK107,Fundamentus!A:U,17,FALSE)&gt;0.1,"Bom retorno","n/a"))</f>
        <v>Bom retorno</v>
      </c>
      <c r="EX107" s="20" t="str">
        <f>IF(VLOOKUP(BK107,Fundamentus!A:U,16,FALSE)&lt;0.1,"Ineficiente",IF(VLOOKUP(BK107,Fundamentus!A:U,16,FALSE)&gt;0.1,"Eficiente","n/a"))</f>
        <v>Eficiente</v>
      </c>
      <c r="EY107" s="41" t="str">
        <f>IF(VLOOKUP(BK107,Fundamentus!A:U,16,FALSE)&lt;0.1,"Oper. Ineficiente",IF(VLOOKUP(BK107,Fundamentus!A:U,16,FALSE)&gt;0.1,"Oper.Eficiente","n/a"))</f>
        <v>Oper.Eficiente</v>
      </c>
      <c r="EZ107" s="42">
        <f>VLOOKUP(BK107,Fundamentus!A:U,14,FALSE)</f>
        <v>0.26939999999999997</v>
      </c>
      <c r="FA107" s="20" t="str">
        <f>IF(VLOOKUP(BK107,Fundamentus!A:U,21,FALSE)&lt;0,"Negativo",IF(VLOOKUP(BK107,Fundamentus!A:U,21,FALSE)&lt;0.05,"Fraco",IF(VLOOKUP(BK107,Fundamentus!A:U,21,FALSE)&lt;0.1,"Bom",IF(VLOOKUP(BK107,Fundamentus!A:U,21,FALSE)&gt;0.1,"Muito bom","n/a"))))</f>
        <v>Muito bom</v>
      </c>
      <c r="FC107" s="37" t="str">
        <f>IF(VLOOKUP(BK107,Fundamentus!A:U,15,FALSE)&gt;1,"Bom",IF(VLOOKUP(BK107,Fundamentus!A:U,15,FALSE)&lt;1,"Ruim","n/a"))</f>
        <v>Bom</v>
      </c>
      <c r="FD107" s="20" t="str">
        <f>IF(VLOOKUP(BK107,Fundamentus!A:U,20,FALSE)&lt;0.5,"Baixa",IF(VLOOKUP(BK107,Fundamentus!A:U,20,FALSE)&lt;1,"Moderada",IF(VLOOKUP(BK107,Fundamentus!A:U,20,FALSE)&lt;2,"Alerta",IF(VLOOKUP(BK107,Fundamentus!A:U,20,FALSE)&gt;2,"Alta","n/a"))))</f>
        <v>Moderada</v>
      </c>
      <c r="FE107" s="10"/>
    </row>
    <row r="108" spans="1:161" s="2" customFormat="1" ht="11.25" hidden="1"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8">
        <v>10.29</v>
      </c>
      <c r="BC108" s="62">
        <v>12.05</v>
      </c>
      <c r="BD108" s="62">
        <v>11.7</v>
      </c>
      <c r="BE108" s="62">
        <v>11.2</v>
      </c>
      <c r="BF108" s="62">
        <v>11.33</v>
      </c>
      <c r="BG108" s="81">
        <v>11.42</v>
      </c>
      <c r="BH108" s="62">
        <v>11.53</v>
      </c>
      <c r="BI108" s="62">
        <v>11.42</v>
      </c>
      <c r="BJ108" s="62" cm="1">
        <f t="array" aca="1" ref="BJ108" ca="1">_FV(EH108,"Preço")</f>
        <v>11.41</v>
      </c>
      <c r="BK108" s="83" t="s">
        <v>105</v>
      </c>
      <c r="BL108" s="44" cm="1">
        <f t="array" aca="1" ref="BL108" ca="1">_FV(EH108,"Média de volume",TRUE)</f>
        <v>401310</v>
      </c>
      <c r="BM108" s="44">
        <v>346300</v>
      </c>
      <c r="BN108" s="44" cm="1">
        <f t="array" aca="1" ref="BN108" ca="1">_FV(EH108,"Volume")</f>
        <v>113300</v>
      </c>
      <c r="BO108" s="32" cm="1">
        <f t="array" aca="1" ref="BO108" ca="1">_FV(EH108,"Beta")</f>
        <v>0.62490000000000001</v>
      </c>
      <c r="BP108" s="86" cm="1">
        <f t="array" aca="1" ref="BP108" ca="1">_FV(EH108,"Variação (%)",TRUE)</f>
        <v>-8.7569999999999998E-4</v>
      </c>
      <c r="BQ108" s="48"/>
      <c r="BR108" s="48"/>
      <c r="BT108" s="20" cm="1">
        <f t="array" aca="1" ref="BT108" ca="1">_FV(EH108,"Baixo")</f>
        <v>11.3</v>
      </c>
      <c r="BU108" s="20" cm="1">
        <f t="array" aca="1" ref="BU108" ca="1">_FV(EH108,"Alto")</f>
        <v>11.5</v>
      </c>
      <c r="BV108" s="32"/>
      <c r="BW108" s="73">
        <f ca="1">SQRT(22.5*(BJ108/VLOOKUP(BK108,Fundamentus!A:U,3,FALSE))*(BJ108/VLOOKUP(BK108,Fundamentus!A:U,4,FALSE)))</f>
        <v>12.839962088131404</v>
      </c>
      <c r="BY108" s="72">
        <f t="shared" ca="1" si="90"/>
        <v>-8.7565674255689905E-4</v>
      </c>
      <c r="BZ108" s="8"/>
      <c r="CA108" s="71">
        <f t="shared" si="98"/>
        <v>9.8699999999999992</v>
      </c>
      <c r="CB108" s="71">
        <f t="shared" si="91"/>
        <v>18.8</v>
      </c>
      <c r="CC108" s="71">
        <f t="shared" si="99"/>
        <v>12.325983606557378</v>
      </c>
      <c r="CD108" s="17"/>
      <c r="CE108" s="43">
        <f t="shared" si="96"/>
        <v>11.378225531212433</v>
      </c>
      <c r="CF108" s="18">
        <f>FORECAST("04/07/2025", BF108:BI108, $BF$5:$BI$5)</f>
        <v>11.52000000000001</v>
      </c>
      <c r="CG108" s="43">
        <f t="shared" si="97"/>
        <v>11.661774468787588</v>
      </c>
      <c r="CI108" s="17"/>
      <c r="CJ108" s="20">
        <f>CA108-2*(CB108-CM108)</f>
        <v>-1.0033333333333321</v>
      </c>
      <c r="CK108" s="20">
        <f>CM108-(CB108-CA108)</f>
        <v>4.4333333333333336</v>
      </c>
      <c r="CL108" s="20">
        <f>2*CM108-CB108</f>
        <v>7.9266666666666694</v>
      </c>
      <c r="CM108" s="48">
        <f>(CB108+CA108+BI108)/3</f>
        <v>13.363333333333335</v>
      </c>
      <c r="CN108" s="20">
        <f>2*CM108-CA108</f>
        <v>16.856666666666669</v>
      </c>
      <c r="CO108" s="20">
        <f>CM108+(CB108-CA108)</f>
        <v>22.293333333333337</v>
      </c>
      <c r="CP108" s="20">
        <f>CB108+2*(CM108-CA108)</f>
        <v>25.786666666666672</v>
      </c>
      <c r="CQ108" s="2" cm="1">
        <f t="array" aca="1" ref="CQ108" ca="1">MAX(_xlfn._xlws.FILTER(CJ108:CP108,CJ108:CP108&lt;BJ108))</f>
        <v>7.9266666666666694</v>
      </c>
      <c r="CR108" s="2" cm="1">
        <f t="array" aca="1" ref="CR108" ca="1">MIN(_xlfn._xlws.FILTER($CJ108:$CP108,$CJ108:$CP108&gt;BJ108))</f>
        <v>13.363333333333335</v>
      </c>
      <c r="CS108" s="19">
        <f t="shared" ca="1" si="100"/>
        <v>0.68587047939444878</v>
      </c>
      <c r="CT108" s="23">
        <f t="shared" ca="1" si="101"/>
        <v>-0.34293523969722439</v>
      </c>
      <c r="CU108" s="23">
        <f t="shared" ca="1" si="102"/>
        <v>-0.22862349313148292</v>
      </c>
      <c r="CV108" s="23">
        <f t="shared" ca="1" si="103"/>
        <v>-0.13717409587888976</v>
      </c>
      <c r="CW108" s="23">
        <f t="shared" ca="1" si="104"/>
        <v>-7.620783104382764E-2</v>
      </c>
      <c r="CX108" s="23">
        <f t="shared" ca="1" si="105"/>
        <v>-4.034532231732052E-2</v>
      </c>
      <c r="CY108" s="23">
        <f t="shared" ca="1" si="106"/>
        <v>-2.0783953921043902E-2</v>
      </c>
      <c r="CZ108" s="23">
        <f t="shared" ca="1" si="107"/>
        <v>-1.0551853529145366E-2</v>
      </c>
      <c r="DA108" s="24">
        <f t="shared" ca="1" si="108"/>
        <v>1.0551853529145366E-2</v>
      </c>
      <c r="DB108" s="24">
        <f t="shared" ca="1" si="109"/>
        <v>2.0783953921043902E-2</v>
      </c>
      <c r="DC108" s="24">
        <f t="shared" ca="1" si="110"/>
        <v>4.034532231732052E-2</v>
      </c>
      <c r="DD108" s="24">
        <f t="shared" ca="1" si="111"/>
        <v>7.620783104382764E-2</v>
      </c>
      <c r="DE108" s="24">
        <f t="shared" ca="1" si="112"/>
        <v>0.13717409587888976</v>
      </c>
      <c r="DF108" s="24">
        <f t="shared" ca="1" si="113"/>
        <v>0.22862349313148292</v>
      </c>
      <c r="DG108" s="24">
        <f t="shared" ca="1" si="114"/>
        <v>0.34293523969722439</v>
      </c>
      <c r="DI108" s="19" cm="1">
        <f t="array" aca="1" ref="DI108" ca="1">MAX(_xlfn._xlws.FILTER(CT108:DG108,CT108:DG108&lt;BP108))</f>
        <v>-1.0551853529145366E-2</v>
      </c>
      <c r="DJ108" s="19" cm="1">
        <f t="array" aca="1" ref="DJ108" ca="1">MIN(_xlfn._xlws.FILTER(CT108:DG108,CT108:DG108&gt;BP108))</f>
        <v>1.0551853529145366E-2</v>
      </c>
      <c r="DK108" s="2" cm="1">
        <f t="array" aca="1" ref="DK108" ca="1">_FV(EH108,"Fechamento anterior",TRUE)</f>
        <v>11.42</v>
      </c>
      <c r="DL108" s="36">
        <f ca="1">(BJ108-DM108)/(DN108-DM108)</f>
        <v>0.45850697035652366</v>
      </c>
      <c r="DM108" s="18">
        <f t="shared" ca="1" si="115"/>
        <v>11.29949783269716</v>
      </c>
      <c r="DN108" s="18">
        <f t="shared" ca="1" si="116"/>
        <v>11.54050216730284</v>
      </c>
      <c r="DO108" s="9"/>
      <c r="DP108" s="9"/>
      <c r="DQ108" s="94">
        <v>1.2818068933895197E-2</v>
      </c>
      <c r="DR108" s="94">
        <v>2.6437267176158848E-2</v>
      </c>
      <c r="DS108" s="94">
        <v>2.1103707058290733E-2</v>
      </c>
      <c r="DT108" s="94">
        <f t="shared" ca="1" si="92"/>
        <v>2.1103707058290733E-2</v>
      </c>
      <c r="DU108" s="87">
        <f ca="1">(BJ108-CF108)/(CF108-CE108)</f>
        <v>-0.77588017744453341</v>
      </c>
      <c r="DV108" s="46"/>
      <c r="DW108" s="43">
        <f>_xlfn.STDEV.P(BF108:BI108)</f>
        <v>7.088723439378887E-2</v>
      </c>
      <c r="DX108" s="76">
        <f ca="1">BO108-$DT$2</f>
        <v>-0.37220000000000009</v>
      </c>
      <c r="DY108" s="76">
        <f ca="1">BO108-BP108*100</f>
        <v>0.71247000000000005</v>
      </c>
      <c r="DZ108" s="101"/>
      <c r="EA108" s="100">
        <v>-2.1172</v>
      </c>
      <c r="EB108" s="107">
        <v>3.1871</v>
      </c>
      <c r="EC108" s="107">
        <v>-1.1155999999999999</v>
      </c>
      <c r="ED108" s="98">
        <f t="shared" ca="1" si="93"/>
        <v>-1.08467</v>
      </c>
      <c r="EE108" s="66"/>
      <c r="EF108" s="66"/>
      <c r="EH108" s="2" t="e" vm="108">
        <v>#VALUE!</v>
      </c>
      <c r="EJ108" s="10" cm="1">
        <f t="array" aca="1" ref="EJ108" ca="1">_FV(EH108,"Ações em circulação",TRUE)</f>
        <v>135322100</v>
      </c>
      <c r="EK108" s="21">
        <f>VLOOKUP(BK108,Fundamentus!A:U,5,FALSE)</f>
        <v>0.81200000000000006</v>
      </c>
      <c r="EL108" s="2">
        <f ca="1">(BJ108*EJ108)/EK108</f>
        <v>1901508818.965517</v>
      </c>
      <c r="EM108" s="20">
        <v>169192288.37413794</v>
      </c>
      <c r="EN108" s="20">
        <f t="shared" ca="1" si="94"/>
        <v>169044134.00603446</v>
      </c>
      <c r="EP108" s="19">
        <f t="shared" ca="1" si="89"/>
        <v>-8.7565674255707382E-4</v>
      </c>
      <c r="EQ108" s="40" t="str">
        <f>IF(VLOOKUP(BK108,Fundamentus!A:U,3,FALSE)&lt;15,"Bom",IF(VLOOKUP(BK108,Fundamentus!A:U,3,FALSE)&gt;15,"Ruim","n/a"))</f>
        <v>Ruim</v>
      </c>
      <c r="ER108" s="36" t="str">
        <f>IF(VLOOKUP(BK108,Fundamentus!A:U,4,FALSE)&lt;1,"Baixo",IF(VLOOKUP(BK108,Fundamentus!A:U,4,FALSE)&lt;1.5,"Moderado",IF(VLOOKUP(BK108,Fundamentus!A:U,4,FALSE)&gt;1.5,"Alto","n/a")))</f>
        <v>Moderado</v>
      </c>
      <c r="ES108" s="20" t="str">
        <f>IF(VLOOKUP(BK108,Fundamentus!A:U,8,FALSE)&lt;0,"Risco elevado",IF(VLOOKUP(BK108,Fundamentus!A:U,8,FALSE)&lt;1,"Saudável",IF(VLOOKUP(BK108,Fundamentus!A:U,8,FALSE)&lt;3,"Estável",IF(VLOOKUP(BK108,Fundamentus!A:U,8,FALSE)&gt;3,"Alerta","n/a"))))</f>
        <v>Saudável</v>
      </c>
      <c r="ET108" s="36" t="str">
        <f t="shared" si="95"/>
        <v>Ruim</v>
      </c>
      <c r="EU108" s="20" t="str">
        <f>IF(VLOOKUP(BK108,Fundamentus!A:U,12,FALSE)&lt;2,"Subvalorizada",IF(VLOOKUP(BK108,Fundamentus!A:U,12,FALSE)&lt;6,"Muita barata",IF(VLOOKUP(BK108,Fundamentus!A:U,12,FALSE)&lt;6,"Barata",IF(VLOOKUP(BK108,Fundamentus!A:U,12,FALSE)&lt;8,"Atrativa",IF(VLOOKUP(BK108,Fundamentus!A:U,12,FALSE)&gt;8,"Supervalorizada","n/a")))))</f>
        <v>Supervalorizada</v>
      </c>
      <c r="EW108" s="20" t="str">
        <f>IF(VLOOKUP(BK108,Fundamentus!A:U,17,FALSE)&lt;0.1,"Fraco retorno",IF(VLOOKUP(BK108,Fundamentus!A:U,17,FALSE)&gt;0.1,"Bom retorno","n/a"))</f>
        <v>Fraco retorno</v>
      </c>
      <c r="EX108" s="20" t="str">
        <f>IF(VLOOKUP(BK108,Fundamentus!A:U,16,FALSE)&lt;0.1,"Ineficiente",IF(VLOOKUP(BK108,Fundamentus!A:U,16,FALSE)&gt;0.1,"Eficiente","n/a"))</f>
        <v>Ineficiente</v>
      </c>
      <c r="EY108" s="41" t="str">
        <f>IF(VLOOKUP(BK108,Fundamentus!A:U,16,FALSE)&lt;0.1,"Oper. Ineficiente",IF(VLOOKUP(BK108,Fundamentus!A:U,16,FALSE)&gt;0.1,"Oper.Eficiente","n/a"))</f>
        <v>Oper. Ineficiente</v>
      </c>
      <c r="EZ108" s="42">
        <f>VLOOKUP(BK108,Fundamentus!A:U,14,FALSE)</f>
        <v>8.8900000000000007E-2</v>
      </c>
      <c r="FA108" s="20" t="str">
        <f>IF(VLOOKUP(BK108,Fundamentus!A:U,21,FALSE)&lt;0,"Negativo",IF(VLOOKUP(BK108,Fundamentus!A:U,21,FALSE)&lt;0.05,"Fraco",IF(VLOOKUP(BK108,Fundamentus!A:U,21,FALSE)&lt;0.1,"Bom",IF(VLOOKUP(BK108,Fundamentus!A:U,21,FALSE)&gt;0.1,"Muito bom","n/a"))))</f>
        <v>Muito bom</v>
      </c>
      <c r="FC108" s="37" t="str">
        <f>IF(VLOOKUP(BK108,Fundamentus!A:U,15,FALSE)&gt;1,"Bom",IF(VLOOKUP(BK108,Fundamentus!A:U,15,FALSE)&lt;1,"Ruim","n/a"))</f>
        <v>Bom</v>
      </c>
      <c r="FD108" s="20" t="str">
        <f>IF(VLOOKUP(BK108,Fundamentus!A:U,20,FALSE)&lt;0.5,"Baixa",IF(VLOOKUP(BK108,Fundamentus!A:U,20,FALSE)&lt;1,"Moderada",IF(VLOOKUP(BK108,Fundamentus!A:U,20,FALSE)&lt;2,"Alerta",IF(VLOOKUP(BK108,Fundamentus!A:U,20,FALSE)&gt;2,"Alta","n/a"))))</f>
        <v>Moderada</v>
      </c>
      <c r="FE108" s="10"/>
    </row>
    <row r="109" spans="1:161" s="2" customFormat="1" ht="11.25" hidden="1"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8">
        <v>5.3</v>
      </c>
      <c r="BC109" s="62">
        <v>5.04</v>
      </c>
      <c r="BD109" s="62">
        <v>4.74</v>
      </c>
      <c r="BE109" s="62">
        <v>4.66</v>
      </c>
      <c r="BF109" s="62">
        <v>4.57</v>
      </c>
      <c r="BG109" s="81">
        <v>4.88</v>
      </c>
      <c r="BH109" s="62">
        <v>4.9000000000000004</v>
      </c>
      <c r="BI109" s="62">
        <v>4.7300000000000004</v>
      </c>
      <c r="BJ109" s="62" cm="1">
        <f t="array" aca="1" ref="BJ109" ca="1">_FV(EH109,"Preço")</f>
        <v>4.75</v>
      </c>
      <c r="BK109" s="83" t="s">
        <v>106</v>
      </c>
      <c r="BL109" s="44" cm="1">
        <f t="array" aca="1" ref="BL109" ca="1">_FV(EH109,"Média de volume",TRUE)</f>
        <v>16870</v>
      </c>
      <c r="BM109" s="44">
        <v>900</v>
      </c>
      <c r="BN109" s="44" cm="1">
        <f t="array" aca="1" ref="BN109" ca="1">_FV(EH109,"Volume")</f>
        <v>2600</v>
      </c>
      <c r="BO109" s="32" cm="1">
        <f t="array" aca="1" ref="BO109" ca="1">_FV(EH109,"Beta")</f>
        <v>0.40039999999999998</v>
      </c>
      <c r="BP109" s="86" cm="1">
        <f t="array" aca="1" ref="BP109" ca="1">_FV(EH109,"Variação (%)",TRUE)</f>
        <v>4.228E-3</v>
      </c>
      <c r="BQ109" s="48"/>
      <c r="BR109" s="48"/>
      <c r="BT109" s="20" cm="1">
        <f t="array" aca="1" ref="BT109" ca="1">_FV(EH109,"Baixo")</f>
        <v>4.74</v>
      </c>
      <c r="BU109" s="20" cm="1">
        <f t="array" aca="1" ref="BU109" ca="1">_FV(EH109,"Alto")</f>
        <v>4.79</v>
      </c>
      <c r="BV109" s="32"/>
      <c r="BW109" s="73">
        <f ca="1">SQRT(22.5*(BJ109/VLOOKUP(BK109,Fundamentus!A:U,3,FALSE))*(BJ109/VLOOKUP(BK109,Fundamentus!A:U,4,FALSE)))</f>
        <v>12.551485949014239</v>
      </c>
      <c r="BY109" s="72">
        <f t="shared" ca="1" si="90"/>
        <v>4.2283298097250677E-3</v>
      </c>
      <c r="BZ109" s="8"/>
      <c r="CA109" s="71">
        <f t="shared" si="98"/>
        <v>4.57</v>
      </c>
      <c r="CB109" s="71">
        <f t="shared" si="91"/>
        <v>7.88</v>
      </c>
      <c r="CC109" s="71">
        <f t="shared" si="99"/>
        <v>6.3727049180327873</v>
      </c>
      <c r="CD109" s="17"/>
      <c r="CE109" s="43">
        <f t="shared" si="96"/>
        <v>4.6292933948882533</v>
      </c>
      <c r="CF109" s="18">
        <f>FORECAST("04/07/2025", BF109:BI109, $BF$5:$BI$5)</f>
        <v>4.8949999999999818</v>
      </c>
      <c r="CG109" s="43">
        <f t="shared" si="97"/>
        <v>5.1607066051117103</v>
      </c>
      <c r="CI109" s="17"/>
      <c r="CJ109" s="20">
        <f>CA109-2*(CB109-CM109)</f>
        <v>0.26333333333333364</v>
      </c>
      <c r="CK109" s="20">
        <f>CM109-(CB109-CA109)</f>
        <v>2.416666666666667</v>
      </c>
      <c r="CL109" s="20">
        <f>2*CM109-CB109</f>
        <v>3.5733333333333333</v>
      </c>
      <c r="CM109" s="48">
        <f>(CB109+CA109+BI109)/3</f>
        <v>5.7266666666666666</v>
      </c>
      <c r="CN109" s="20">
        <f>2*CM109-CA109</f>
        <v>6.8833333333333329</v>
      </c>
      <c r="CO109" s="20">
        <f>CM109+(CB109-CA109)</f>
        <v>9.0366666666666653</v>
      </c>
      <c r="CP109" s="20">
        <f>CB109+2*(CM109-CA109)</f>
        <v>10.193333333333332</v>
      </c>
      <c r="CQ109" s="2" cm="1">
        <f t="array" aca="1" ref="CQ109" ca="1">MAX(_xlfn._xlws.FILTER(CJ109:CP109,CJ109:CP109&lt;BJ109))</f>
        <v>3.5733333333333333</v>
      </c>
      <c r="CR109" s="2" cm="1">
        <f t="array" aca="1" ref="CR109" ca="1">MIN(_xlfn._xlws.FILTER($CJ109:$CP109,$CJ109:$CP109&gt;BJ109))</f>
        <v>5.7266666666666666</v>
      </c>
      <c r="CS109" s="19">
        <f t="shared" ca="1" si="100"/>
        <v>0.60261194029850751</v>
      </c>
      <c r="CT109" s="23">
        <f t="shared" ca="1" si="101"/>
        <v>-0.30130597014925375</v>
      </c>
      <c r="CU109" s="23">
        <f t="shared" ca="1" si="102"/>
        <v>-0.20087064676616917</v>
      </c>
      <c r="CV109" s="23">
        <f t="shared" ca="1" si="103"/>
        <v>-0.1205223880597015</v>
      </c>
      <c r="CW109" s="23">
        <f t="shared" ca="1" si="104"/>
        <v>-6.6956882255389719E-2</v>
      </c>
      <c r="CX109" s="23">
        <f t="shared" ca="1" si="105"/>
        <v>-3.5447761194029856E-2</v>
      </c>
      <c r="CY109" s="23">
        <f t="shared" ca="1" si="106"/>
        <v>-1.826096788783356E-2</v>
      </c>
      <c r="CZ109" s="23">
        <f t="shared" ca="1" si="107"/>
        <v>-9.2709529276693466E-3</v>
      </c>
      <c r="DA109" s="24">
        <f t="shared" ca="1" si="108"/>
        <v>9.2709529276693466E-3</v>
      </c>
      <c r="DB109" s="24">
        <f t="shared" ca="1" si="109"/>
        <v>1.826096788783356E-2</v>
      </c>
      <c r="DC109" s="24">
        <f t="shared" ca="1" si="110"/>
        <v>3.5447761194029856E-2</v>
      </c>
      <c r="DD109" s="24">
        <f t="shared" ca="1" si="111"/>
        <v>6.6956882255389719E-2</v>
      </c>
      <c r="DE109" s="24">
        <f t="shared" ca="1" si="112"/>
        <v>0.1205223880597015</v>
      </c>
      <c r="DF109" s="24">
        <f t="shared" ca="1" si="113"/>
        <v>0.20087064676616917</v>
      </c>
      <c r="DG109" s="24">
        <f t="shared" ca="1" si="114"/>
        <v>0.30130597014925375</v>
      </c>
      <c r="DI109" s="19" cm="1">
        <f t="array" aca="1" ref="DI109" ca="1">MAX(_xlfn._xlws.FILTER(CT109:DG109,CT109:DG109&lt;BP109))</f>
        <v>-9.2709529276693466E-3</v>
      </c>
      <c r="DJ109" s="19" cm="1">
        <f t="array" aca="1" ref="DJ109" ca="1">MIN(_xlfn._xlws.FILTER(CT109:DG109,CT109:DG109&gt;BP109))</f>
        <v>9.2709529276693466E-3</v>
      </c>
      <c r="DK109" s="2" cm="1">
        <f t="array" aca="1" ref="DK109" ca="1">_FV(EH109,"Fechamento anterior",TRUE)</f>
        <v>4.7300000000000004</v>
      </c>
      <c r="DL109" s="36">
        <f ca="1">(BJ109-DM109)/(DN109-DM109)</f>
        <v>0.72804181202913487</v>
      </c>
      <c r="DM109" s="18">
        <f t="shared" ca="1" si="115"/>
        <v>4.6861483926521244</v>
      </c>
      <c r="DN109" s="18">
        <f t="shared" ca="1" si="116"/>
        <v>4.7738516073478765</v>
      </c>
      <c r="DO109" s="9"/>
      <c r="DP109" s="9"/>
      <c r="DQ109" s="94">
        <v>1.8085731062830297E-2</v>
      </c>
      <c r="DR109" s="94">
        <v>1.7867585410017393E-2</v>
      </c>
      <c r="DS109" s="94">
        <v>1.761831634789893E-2</v>
      </c>
      <c r="DT109" s="94">
        <f t="shared" ca="1" si="92"/>
        <v>1.8541905855338693E-2</v>
      </c>
      <c r="DU109" s="87">
        <f ca="1">(BJ109-CF109)/(CF109-CE109)</f>
        <v>-0.54571469888379298</v>
      </c>
      <c r="DV109" s="46"/>
      <c r="DW109" s="43">
        <f>_xlfn.STDEV.P(BF109:BI109)</f>
        <v>0.13285330255586417</v>
      </c>
      <c r="DX109" s="76">
        <f ca="1">BO109-$DT$2</f>
        <v>-0.59670000000000012</v>
      </c>
      <c r="DY109" s="76">
        <f ca="1">BO109-BP109*100</f>
        <v>-2.2400000000000031E-2</v>
      </c>
      <c r="DZ109" s="101"/>
      <c r="EA109" s="100">
        <v>-0.31230000000000002</v>
      </c>
      <c r="EB109" s="107">
        <v>1.6517000000000002</v>
      </c>
      <c r="EC109" s="107">
        <v>1.9013000000000002</v>
      </c>
      <c r="ED109" s="98">
        <f t="shared" ca="1" si="93"/>
        <v>-0.57430000000000003</v>
      </c>
      <c r="EE109" s="66"/>
      <c r="EF109" s="66"/>
      <c r="EH109" s="2" t="e" vm="109">
        <v>#VALUE!</v>
      </c>
      <c r="EJ109" s="10" cm="1">
        <f t="array" aca="1" ref="EJ109" ca="1">_FV(EH109,"Ações em circulação",TRUE)</f>
        <v>48046490</v>
      </c>
      <c r="EK109" s="21">
        <f>VLOOKUP(BK109,Fundamentus!A:U,5,FALSE)</f>
        <v>0.28499999999999998</v>
      </c>
      <c r="EL109" s="2">
        <f ca="1">(BJ109*EJ109)/EK109</f>
        <v>800774833.33333337</v>
      </c>
      <c r="EM109" s="20">
        <v>57492767.102350883</v>
      </c>
      <c r="EN109" s="20">
        <f t="shared" ca="1" si="94"/>
        <v>57735865.483333334</v>
      </c>
      <c r="EP109" s="19">
        <f t="shared" ca="1" si="89"/>
        <v>4.2283298097249844E-3</v>
      </c>
      <c r="EQ109" s="40" t="str">
        <f>IF(VLOOKUP(BK109,Fundamentus!A:U,3,FALSE)&lt;15,"Bom",IF(VLOOKUP(BK109,Fundamentus!A:U,3,FALSE)&gt;15,"Ruim","n/a"))</f>
        <v>Bom</v>
      </c>
      <c r="ER109" s="36" t="str">
        <f>IF(VLOOKUP(BK109,Fundamentus!A:U,4,FALSE)&lt;1,"Baixo",IF(VLOOKUP(BK109,Fundamentus!A:U,4,FALSE)&lt;1.5,"Moderado",IF(VLOOKUP(BK109,Fundamentus!A:U,4,FALSE)&gt;1.5,"Alto","n/a")))</f>
        <v>Baixo</v>
      </c>
      <c r="ES109" s="20" t="str">
        <f>IF(VLOOKUP(BK109,Fundamentus!A:U,8,FALSE)&lt;0,"Risco elevado",IF(VLOOKUP(BK109,Fundamentus!A:U,8,FALSE)&lt;1,"Saudável",IF(VLOOKUP(BK109,Fundamentus!A:U,8,FALSE)&lt;3,"Estável",IF(VLOOKUP(BK109,Fundamentus!A:U,8,FALSE)&gt;3,"Alerta","n/a"))))</f>
        <v>Saudável</v>
      </c>
      <c r="ET109" s="36" t="str">
        <f t="shared" si="95"/>
        <v>Ruim</v>
      </c>
      <c r="EU109" s="20" t="str">
        <f>IF(VLOOKUP(BK109,Fundamentus!A:U,12,FALSE)&lt;2,"Subvalorizada",IF(VLOOKUP(BK109,Fundamentus!A:U,12,FALSE)&lt;6,"Muita barata",IF(VLOOKUP(BK109,Fundamentus!A:U,12,FALSE)&lt;6,"Barata",IF(VLOOKUP(BK109,Fundamentus!A:U,12,FALSE)&lt;8,"Atrativa",IF(VLOOKUP(BK109,Fundamentus!A:U,12,FALSE)&gt;8,"Supervalorizada","n/a")))))</f>
        <v>Muita barata</v>
      </c>
      <c r="EW109" s="20" t="str">
        <f>IF(VLOOKUP(BK109,Fundamentus!A:U,17,FALSE)&lt;0.1,"Fraco retorno",IF(VLOOKUP(BK109,Fundamentus!A:U,17,FALSE)&gt;0.1,"Bom retorno","n/a"))</f>
        <v>Fraco retorno</v>
      </c>
      <c r="EX109" s="20" t="str">
        <f>IF(VLOOKUP(BK109,Fundamentus!A:U,16,FALSE)&lt;0.1,"Ineficiente",IF(VLOOKUP(BK109,Fundamentus!A:U,16,FALSE)&gt;0.1,"Eficiente","n/a"))</f>
        <v>Ineficiente</v>
      </c>
      <c r="EY109" s="41" t="str">
        <f>IF(VLOOKUP(BK109,Fundamentus!A:U,16,FALSE)&lt;0.1,"Oper. Ineficiente",IF(VLOOKUP(BK109,Fundamentus!A:U,16,FALSE)&gt;0.1,"Oper.Eficiente","n/a"))</f>
        <v>Oper. Ineficiente</v>
      </c>
      <c r="EZ109" s="42">
        <f>VLOOKUP(BK109,Fundamentus!A:U,14,FALSE)</f>
        <v>7.2099999999999997E-2</v>
      </c>
      <c r="FA109" s="20" t="str">
        <f>IF(VLOOKUP(BK109,Fundamentus!A:U,21,FALSE)&lt;0,"Negativo",IF(VLOOKUP(BK109,Fundamentus!A:U,21,FALSE)&lt;0.05,"Fraco",IF(VLOOKUP(BK109,Fundamentus!A:U,21,FALSE)&lt;0.1,"Bom",IF(VLOOKUP(BK109,Fundamentus!A:U,21,FALSE)&gt;0.1,"Muito bom","n/a"))))</f>
        <v>Bom</v>
      </c>
      <c r="FC109" s="37" t="str">
        <f>IF(VLOOKUP(BK109,Fundamentus!A:U,15,FALSE)&gt;1,"Bom",IF(VLOOKUP(BK109,Fundamentus!A:U,15,FALSE)&lt;1,"Ruim","n/a"))</f>
        <v>Bom</v>
      </c>
      <c r="FD109" s="20" t="str">
        <f>IF(VLOOKUP(BK109,Fundamentus!A:U,20,FALSE)&lt;0.5,"Baixa",IF(VLOOKUP(BK109,Fundamentus!A:U,20,FALSE)&lt;1,"Moderada",IF(VLOOKUP(BK109,Fundamentus!A:U,20,FALSE)&lt;2,"Alerta",IF(VLOOKUP(BK109,Fundamentus!A:U,20,FALSE)&gt;2,"Alta","n/a"))))</f>
        <v>Moderada</v>
      </c>
      <c r="FE109" s="10"/>
    </row>
    <row r="110" spans="1:161" s="2" customFormat="1" ht="11.25" hidden="1"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8">
        <v>9.41</v>
      </c>
      <c r="BC110" s="62">
        <v>9.08</v>
      </c>
      <c r="BD110" s="62">
        <v>9.33</v>
      </c>
      <c r="BE110" s="62">
        <v>9.4600000000000009</v>
      </c>
      <c r="BF110" s="62">
        <v>9.36</v>
      </c>
      <c r="BG110" s="81">
        <v>9.5</v>
      </c>
      <c r="BH110" s="62">
        <v>9.73</v>
      </c>
      <c r="BI110" s="62">
        <v>9.4600000000000009</v>
      </c>
      <c r="BJ110" s="62" cm="1">
        <f t="array" aca="1" ref="BJ110" ca="1">_FV(EH110,"Preço")</f>
        <v>9.6</v>
      </c>
      <c r="BK110" s="83" t="s">
        <v>107</v>
      </c>
      <c r="BL110" s="44" cm="1">
        <f t="array" aca="1" ref="BL110" ca="1">_FV(EH110,"Média de volume",TRUE)</f>
        <v>129960</v>
      </c>
      <c r="BM110" s="44">
        <v>60400</v>
      </c>
      <c r="BN110" s="44" cm="1">
        <f t="array" aca="1" ref="BN110" ca="1">_FV(EH110,"Volume")</f>
        <v>27600</v>
      </c>
      <c r="BO110" s="32" cm="1">
        <f t="array" aca="1" ref="BO110" ca="1">_FV(EH110,"Beta")</f>
        <v>1.2226999999999999</v>
      </c>
      <c r="BP110" s="86" cm="1">
        <f t="array" aca="1" ref="BP110" ca="1">_FV(EH110,"Variação (%)",TRUE)</f>
        <v>1.4799E-2</v>
      </c>
      <c r="BQ110" s="48"/>
      <c r="BR110" s="48"/>
      <c r="BT110" s="20" cm="1">
        <f t="array" aca="1" ref="BT110" ca="1">_FV(EH110,"Baixo")</f>
        <v>9.43</v>
      </c>
      <c r="BU110" s="20" cm="1">
        <f t="array" aca="1" ref="BU110" ca="1">_FV(EH110,"Alto")</f>
        <v>9.68</v>
      </c>
      <c r="BV110" s="32"/>
      <c r="BW110" s="73">
        <f ca="1">SQRT(22.5*(BJ110/VLOOKUP(BK110,Fundamentus!A:U,3,FALSE))*(BJ110/VLOOKUP(BK110,Fundamentus!A:U,4,FALSE)))</f>
        <v>14.581951377936875</v>
      </c>
      <c r="BY110" s="72">
        <f t="shared" ca="1" si="90"/>
        <v>1.4799154334037926E-2</v>
      </c>
      <c r="BZ110" s="8"/>
      <c r="CA110" s="71">
        <f t="shared" si="98"/>
        <v>8.01</v>
      </c>
      <c r="CB110" s="71">
        <f t="shared" si="91"/>
        <v>17.14</v>
      </c>
      <c r="CC110" s="71">
        <f t="shared" si="99"/>
        <v>12.228606557377052</v>
      </c>
      <c r="CD110" s="17"/>
      <c r="CE110" s="43">
        <f t="shared" si="96"/>
        <v>9.373937276631386</v>
      </c>
      <c r="CF110" s="18">
        <f>FORECAST("04/07/2025", BF110:BI110, $BF$5:$BI$5)</f>
        <v>9.6449999999999818</v>
      </c>
      <c r="CG110" s="43">
        <f t="shared" si="97"/>
        <v>9.9160627233685776</v>
      </c>
      <c r="CI110" s="17"/>
      <c r="CJ110" s="20">
        <f>CA110-2*(CB110-CM110)</f>
        <v>-3.1966666666666672</v>
      </c>
      <c r="CK110" s="20">
        <f>CM110-(CB110-CA110)</f>
        <v>2.4066666666666663</v>
      </c>
      <c r="CL110" s="20">
        <f>2*CM110-CB110</f>
        <v>5.9333333333333336</v>
      </c>
      <c r="CM110" s="48">
        <f>(CB110+CA110+BI110)/3</f>
        <v>11.536666666666667</v>
      </c>
      <c r="CN110" s="20">
        <f>2*CM110-CA110</f>
        <v>15.063333333333334</v>
      </c>
      <c r="CO110" s="20">
        <f>CM110+(CB110-CA110)</f>
        <v>20.666666666666668</v>
      </c>
      <c r="CP110" s="20">
        <f>CB110+2*(CM110-CA110)</f>
        <v>24.193333333333335</v>
      </c>
      <c r="CQ110" s="2" cm="1">
        <f t="array" aca="1" ref="CQ110" ca="1">MAX(_xlfn._xlws.FILTER(CJ110:CP110,CJ110:CP110&lt;BJ110))</f>
        <v>5.9333333333333336</v>
      </c>
      <c r="CR110" s="2" cm="1">
        <f t="array" aca="1" ref="CR110" ca="1">MIN(_xlfn._xlws.FILTER($CJ110:$CP110,$CJ110:$CP110&gt;BJ110))</f>
        <v>11.536666666666667</v>
      </c>
      <c r="CS110" s="19">
        <f t="shared" ca="1" si="100"/>
        <v>0.94438202247191017</v>
      </c>
      <c r="CT110" s="23">
        <f t="shared" ca="1" si="101"/>
        <v>-0.47219101123595508</v>
      </c>
      <c r="CU110" s="23">
        <f t="shared" ca="1" si="102"/>
        <v>-0.31479400749063674</v>
      </c>
      <c r="CV110" s="23">
        <f t="shared" ca="1" si="103"/>
        <v>-0.18887640449438203</v>
      </c>
      <c r="CW110" s="23">
        <f t="shared" ca="1" si="104"/>
        <v>-0.10493133583021225</v>
      </c>
      <c r="CX110" s="23">
        <f t="shared" ca="1" si="105"/>
        <v>-5.5551883674818246E-2</v>
      </c>
      <c r="CY110" s="23">
        <f t="shared" ca="1" si="106"/>
        <v>-2.861763704460334E-2</v>
      </c>
      <c r="CZ110" s="23">
        <f t="shared" ca="1" si="107"/>
        <v>-1.4528954191875542E-2</v>
      </c>
      <c r="DA110" s="24">
        <f t="shared" ca="1" si="108"/>
        <v>1.4528954191875542E-2</v>
      </c>
      <c r="DB110" s="24">
        <f t="shared" ca="1" si="109"/>
        <v>2.861763704460334E-2</v>
      </c>
      <c r="DC110" s="24">
        <f t="shared" ca="1" si="110"/>
        <v>5.5551883674818246E-2</v>
      </c>
      <c r="DD110" s="24">
        <f t="shared" ca="1" si="111"/>
        <v>0.10493133583021225</v>
      </c>
      <c r="DE110" s="24">
        <f t="shared" ca="1" si="112"/>
        <v>0.18887640449438203</v>
      </c>
      <c r="DF110" s="24">
        <f t="shared" ca="1" si="113"/>
        <v>0.31479400749063674</v>
      </c>
      <c r="DG110" s="24">
        <f t="shared" ca="1" si="114"/>
        <v>0.47219101123595508</v>
      </c>
      <c r="DI110" s="19" cm="1">
        <f t="array" aca="1" ref="DI110" ca="1">MAX(_xlfn._xlws.FILTER(CT110:DG110,CT110:DG110&lt;BP110))</f>
        <v>1.4528954191875542E-2</v>
      </c>
      <c r="DJ110" s="19" cm="1">
        <f t="array" aca="1" ref="DJ110" ca="1">MIN(_xlfn._xlws.FILTER(CT110:DG110,CT110:DG110&gt;BP110))</f>
        <v>2.861763704460334E-2</v>
      </c>
      <c r="DK110" s="2" cm="1">
        <f t="array" aca="1" ref="DK110" ca="1">_FV(EH110,"Fechamento anterior",TRUE)</f>
        <v>9.4600000000000009</v>
      </c>
      <c r="DL110" s="36">
        <f ca="1">(BJ110-DM110)/(DN110-DM110)</f>
        <v>1.9178523995947265E-2</v>
      </c>
      <c r="DM110" s="18">
        <f t="shared" ca="1" si="115"/>
        <v>9.597443906655144</v>
      </c>
      <c r="DN110" s="18">
        <f t="shared" ca="1" si="116"/>
        <v>9.7307228464419477</v>
      </c>
      <c r="DO110" s="9"/>
      <c r="DP110" s="9"/>
      <c r="DQ110" s="94">
        <v>7.3269316137473473E-3</v>
      </c>
      <c r="DR110" s="94">
        <v>1.400736926157581E-2</v>
      </c>
      <c r="DS110" s="94">
        <v>2.8859060402684582E-2</v>
      </c>
      <c r="DT110" s="94">
        <f t="shared" ca="1" si="92"/>
        <v>1.4088682852727798E-2</v>
      </c>
      <c r="DU110" s="87">
        <f ca="1">(BJ110-CF110)/(CF110-CE110)</f>
        <v>-0.16601323649652253</v>
      </c>
      <c r="DV110" s="46"/>
      <c r="DW110" s="43">
        <f>_xlfn.STDEV.P(BF110:BI110)</f>
        <v>0.13553136168429825</v>
      </c>
      <c r="DX110" s="76">
        <f ca="1">BO110-$DT$2</f>
        <v>0.2255999999999998</v>
      </c>
      <c r="DY110" s="76">
        <f ca="1">BO110-BP110*100</f>
        <v>-0.2572000000000001</v>
      </c>
      <c r="DZ110" s="101"/>
      <c r="EA110" s="100">
        <v>3.4978999999999996</v>
      </c>
      <c r="EB110" s="107">
        <v>-1.4581000000000004</v>
      </c>
      <c r="EC110" s="107">
        <v>-0.86509999999999998</v>
      </c>
      <c r="ED110" s="98">
        <f t="shared" ca="1" si="93"/>
        <v>0.4827999999999999</v>
      </c>
      <c r="EE110" s="66"/>
      <c r="EF110" s="66"/>
      <c r="EH110" s="2" t="e" vm="110">
        <v>#VALUE!</v>
      </c>
      <c r="EJ110" s="10" cm="1">
        <f t="array" aca="1" ref="EJ110" ca="1">_FV(EH110,"Ações em circulação",TRUE)</f>
        <v>115878000</v>
      </c>
      <c r="EK110" s="21">
        <f>VLOOKUP(BK110,Fundamentus!A:U,5,FALSE)</f>
        <v>0.95299999999999996</v>
      </c>
      <c r="EL110" s="2">
        <f ca="1">(BJ110*EJ110)/EK110</f>
        <v>1167291500.5246589</v>
      </c>
      <c r="EM110" s="20">
        <v>100418440.00419728</v>
      </c>
      <c r="EN110" s="20">
        <f t="shared" ca="1" si="94"/>
        <v>101904547.99580273</v>
      </c>
      <c r="EP110" s="19">
        <f t="shared" ca="1" si="89"/>
        <v>1.4799154334038001E-2</v>
      </c>
      <c r="EQ110" s="40" t="str">
        <f>IF(VLOOKUP(BK110,Fundamentus!A:U,3,FALSE)&lt;15,"Bom",IF(VLOOKUP(BK110,Fundamentus!A:U,3,FALSE)&gt;15,"Ruim","n/a"))</f>
        <v>Bom</v>
      </c>
      <c r="ER110" s="36" t="str">
        <f>IF(VLOOKUP(BK110,Fundamentus!A:U,4,FALSE)&lt;1,"Baixo",IF(VLOOKUP(BK110,Fundamentus!A:U,4,FALSE)&lt;1.5,"Moderado",IF(VLOOKUP(BK110,Fundamentus!A:U,4,FALSE)&gt;1.5,"Alto","n/a")))</f>
        <v>Baixo</v>
      </c>
      <c r="ES110" s="20" t="str">
        <f>IF(VLOOKUP(BK110,Fundamentus!A:U,8,FALSE)&lt;0,"Risco elevado",IF(VLOOKUP(BK110,Fundamentus!A:U,8,FALSE)&lt;1,"Saudável",IF(VLOOKUP(BK110,Fundamentus!A:U,8,FALSE)&lt;3,"Estável",IF(VLOOKUP(BK110,Fundamentus!A:U,8,FALSE)&gt;3,"Alerta","n/a"))))</f>
        <v>Alerta</v>
      </c>
      <c r="ET110" s="36" t="str">
        <f t="shared" si="95"/>
        <v>Ruim</v>
      </c>
      <c r="EU110" s="20" t="str">
        <f>IF(VLOOKUP(BK110,Fundamentus!A:U,12,FALSE)&lt;2,"Subvalorizada",IF(VLOOKUP(BK110,Fundamentus!A:U,12,FALSE)&lt;6,"Muita barata",IF(VLOOKUP(BK110,Fundamentus!A:U,12,FALSE)&lt;6,"Barata",IF(VLOOKUP(BK110,Fundamentus!A:U,12,FALSE)&lt;8,"Atrativa",IF(VLOOKUP(BK110,Fundamentus!A:U,12,FALSE)&gt;8,"Supervalorizada","n/a")))))</f>
        <v>Muita barata</v>
      </c>
      <c r="EW110" s="20" t="str">
        <f>IF(VLOOKUP(BK110,Fundamentus!A:U,17,FALSE)&lt;0.1,"Fraco retorno",IF(VLOOKUP(BK110,Fundamentus!A:U,17,FALSE)&gt;0.1,"Bom retorno","n/a"))</f>
        <v>Fraco retorno</v>
      </c>
      <c r="EX110" s="20" t="str">
        <f>IF(VLOOKUP(BK110,Fundamentus!A:U,16,FALSE)&lt;0.1,"Ineficiente",IF(VLOOKUP(BK110,Fundamentus!A:U,16,FALSE)&gt;0.1,"Eficiente","n/a"))</f>
        <v>Eficiente</v>
      </c>
      <c r="EY110" s="41" t="str">
        <f>IF(VLOOKUP(BK110,Fundamentus!A:U,16,FALSE)&lt;0.1,"Oper. Ineficiente",IF(VLOOKUP(BK110,Fundamentus!A:U,16,FALSE)&gt;0.1,"Oper.Eficiente","n/a"))</f>
        <v>Oper.Eficiente</v>
      </c>
      <c r="EZ110" s="42">
        <f>VLOOKUP(BK110,Fundamentus!A:U,14,FALSE)</f>
        <v>8.7300000000000003E-2</v>
      </c>
      <c r="FA110" s="20" t="str">
        <f>IF(VLOOKUP(BK110,Fundamentus!A:U,21,FALSE)&lt;0,"Negativo",IF(VLOOKUP(BK110,Fundamentus!A:U,21,FALSE)&lt;0.05,"Fraco",IF(VLOOKUP(BK110,Fundamentus!A:U,21,FALSE)&lt;0.1,"Bom",IF(VLOOKUP(BK110,Fundamentus!A:U,21,FALSE)&gt;0.1,"Muito bom","n/a"))))</f>
        <v>Muito bom</v>
      </c>
      <c r="FC110" s="37" t="str">
        <f>IF(VLOOKUP(BK110,Fundamentus!A:U,15,FALSE)&gt;1,"Bom",IF(VLOOKUP(BK110,Fundamentus!A:U,15,FALSE)&lt;1,"Ruim","n/a"))</f>
        <v>Bom</v>
      </c>
      <c r="FD110" s="20" t="str">
        <f>IF(VLOOKUP(BK110,Fundamentus!A:U,20,FALSE)&lt;0.5,"Baixa",IF(VLOOKUP(BK110,Fundamentus!A:U,20,FALSE)&lt;1,"Moderada",IF(VLOOKUP(BK110,Fundamentus!A:U,20,FALSE)&lt;2,"Alerta",IF(VLOOKUP(BK110,Fundamentus!A:U,20,FALSE)&gt;2,"Alta","n/a"))))</f>
        <v>Alerta</v>
      </c>
      <c r="FE110" s="10"/>
    </row>
    <row r="111" spans="1:161" s="2" customFormat="1" ht="11.25" hidden="1"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8">
        <v>2.4700000000000002</v>
      </c>
      <c r="BC111" s="62">
        <v>2.52</v>
      </c>
      <c r="BD111" s="62">
        <v>2.58</v>
      </c>
      <c r="BE111" s="62">
        <v>2.72</v>
      </c>
      <c r="BF111" s="62">
        <v>2.69</v>
      </c>
      <c r="BG111" s="81">
        <v>2.65</v>
      </c>
      <c r="BH111" s="62">
        <v>2.6</v>
      </c>
      <c r="BI111" s="62">
        <v>2.77</v>
      </c>
      <c r="BJ111" s="62" cm="1">
        <f t="array" aca="1" ref="BJ111" ca="1">_FV(EH111,"Preço")</f>
        <v>2.72</v>
      </c>
      <c r="BK111" s="83" t="s">
        <v>108</v>
      </c>
      <c r="BL111" s="44" cm="1">
        <f t="array" aca="1" ref="BL111" ca="1">_FV(EH111,"Média de volume",TRUE)</f>
        <v>51640</v>
      </c>
      <c r="BM111" s="44">
        <v>6700</v>
      </c>
      <c r="BN111" s="44" cm="1">
        <f t="array" aca="1" ref="BN111" ca="1">_FV(EH111,"Volume")</f>
        <v>9200</v>
      </c>
      <c r="BO111" s="32" cm="1">
        <f t="array" aca="1" ref="BO111" ca="1">_FV(EH111,"Beta")</f>
        <v>1.0186999999999999</v>
      </c>
      <c r="BP111" s="86" cm="1">
        <f t="array" aca="1" ref="BP111" ca="1">_FV(EH111,"Variação (%)",TRUE)</f>
        <v>-1.8050999999999998E-2</v>
      </c>
      <c r="BQ111" s="48"/>
      <c r="BR111" s="48"/>
      <c r="BT111" s="20" cm="1">
        <f t="array" aca="1" ref="BT111" ca="1">_FV(EH111,"Baixo")</f>
        <v>2.72</v>
      </c>
      <c r="BU111" s="20" cm="1">
        <f t="array" aca="1" ref="BU111" ca="1">_FV(EH111,"Alto")</f>
        <v>2.86</v>
      </c>
      <c r="BV111" s="32"/>
      <c r="BW111" s="73">
        <f ca="1">SQRT(22.5*(BJ111/VLOOKUP(BK111,Fundamentus!A:U,3,FALSE))*(BJ111/VLOOKUP(BK111,Fundamentus!A:U,4,FALSE)))</f>
        <v>3.2105090594877059</v>
      </c>
      <c r="BY111" s="72">
        <f t="shared" ca="1" si="90"/>
        <v>-1.8050541516245425E-2</v>
      </c>
      <c r="BZ111" s="8"/>
      <c r="CA111" s="71">
        <f t="shared" si="98"/>
        <v>2.0499999999999998</v>
      </c>
      <c r="CB111" s="71">
        <f t="shared" si="91"/>
        <v>2.99</v>
      </c>
      <c r="CC111" s="71">
        <f t="shared" si="99"/>
        <v>2.5042622950819671</v>
      </c>
      <c r="CD111" s="17"/>
      <c r="CE111" s="43">
        <f t="shared" si="96"/>
        <v>2.6006014469537471</v>
      </c>
      <c r="CF111" s="18">
        <f>FORECAST("04/07/2025", BF111:BI111, $BF$5:$BI$5)</f>
        <v>2.7249999999999943</v>
      </c>
      <c r="CG111" s="43">
        <f t="shared" si="97"/>
        <v>2.8493985530462416</v>
      </c>
      <c r="CI111" s="17"/>
      <c r="CJ111" s="20">
        <f>CA111-2*(CB111-CM111)</f>
        <v>1.2766666666666664</v>
      </c>
      <c r="CK111" s="20">
        <f>CM111-(CB111-CA111)</f>
        <v>1.6633333333333331</v>
      </c>
      <c r="CL111" s="20">
        <f>2*CM111-CB111</f>
        <v>2.2166666666666668</v>
      </c>
      <c r="CM111" s="48">
        <f>(CB111+CA111+BI111)/3</f>
        <v>2.6033333333333335</v>
      </c>
      <c r="CN111" s="20">
        <f>2*CM111-CA111</f>
        <v>3.1566666666666672</v>
      </c>
      <c r="CO111" s="20">
        <f>CM111+(CB111-CA111)</f>
        <v>3.5433333333333339</v>
      </c>
      <c r="CP111" s="20">
        <f>CB111+2*(CM111-CA111)</f>
        <v>4.0966666666666676</v>
      </c>
      <c r="CQ111" s="2" cm="1">
        <f t="array" aca="1" ref="CQ111" ca="1">MAX(_xlfn._xlws.FILTER(CJ111:CP111,CJ111:CP111&lt;BJ111))</f>
        <v>2.6033333333333335</v>
      </c>
      <c r="CR111" s="2" cm="1">
        <f t="array" aca="1" ref="CR111" ca="1">MIN(_xlfn._xlws.FILTER($CJ111:$CP111,$CJ111:$CP111&gt;BJ111))</f>
        <v>3.1566666666666672</v>
      </c>
      <c r="CS111" s="19">
        <f t="shared" ca="1" si="100"/>
        <v>0.21254801536491685</v>
      </c>
      <c r="CT111" s="23">
        <f t="shared" ca="1" si="101"/>
        <v>-0.10627400768245843</v>
      </c>
      <c r="CU111" s="23">
        <f t="shared" ca="1" si="102"/>
        <v>-7.084933845497228E-2</v>
      </c>
      <c r="CV111" s="23">
        <f t="shared" ca="1" si="103"/>
        <v>-4.2509603072983369E-2</v>
      </c>
      <c r="CW111" s="23">
        <f t="shared" ca="1" si="104"/>
        <v>-2.3616446151657429E-2</v>
      </c>
      <c r="CX111" s="23">
        <f t="shared" ca="1" si="105"/>
        <v>-1.2502824433230404E-2</v>
      </c>
      <c r="CY111" s="23">
        <f t="shared" ca="1" si="106"/>
        <v>-6.440848950452026E-3</v>
      </c>
      <c r="CZ111" s="23">
        <f t="shared" ca="1" si="107"/>
        <v>-3.2699694671525668E-3</v>
      </c>
      <c r="DA111" s="24">
        <f t="shared" ca="1" si="108"/>
        <v>3.2699694671525668E-3</v>
      </c>
      <c r="DB111" s="24">
        <f t="shared" ca="1" si="109"/>
        <v>6.440848950452026E-3</v>
      </c>
      <c r="DC111" s="24">
        <f t="shared" ca="1" si="110"/>
        <v>1.2502824433230404E-2</v>
      </c>
      <c r="DD111" s="24">
        <f t="shared" ca="1" si="111"/>
        <v>2.3616446151657429E-2</v>
      </c>
      <c r="DE111" s="24">
        <f t="shared" ca="1" si="112"/>
        <v>4.2509603072983369E-2</v>
      </c>
      <c r="DF111" s="24">
        <f t="shared" ca="1" si="113"/>
        <v>7.084933845497228E-2</v>
      </c>
      <c r="DG111" s="24">
        <f t="shared" ca="1" si="114"/>
        <v>0.10627400768245843</v>
      </c>
      <c r="DI111" s="19" cm="1">
        <f t="array" aca="1" ref="DI111" ca="1">MAX(_xlfn._xlws.FILTER(CT111:DG111,CT111:DG111&lt;BP111))</f>
        <v>-2.3616446151657429E-2</v>
      </c>
      <c r="DJ111" s="19" cm="1">
        <f t="array" aca="1" ref="DJ111" ca="1">MIN(_xlfn._xlws.FILTER(CT111:DG111,CT111:DG111&gt;BP111))</f>
        <v>-1.2502824433230404E-2</v>
      </c>
      <c r="DK111" s="2" cm="1">
        <f t="array" aca="1" ref="DK111" ca="1">_FV(EH111,"Fechamento anterior",TRUE)</f>
        <v>2.77</v>
      </c>
      <c r="DL111" s="36">
        <f ca="1">(BJ111-DM111)/(DN111-DM111)</f>
        <v>0.50081825496934218</v>
      </c>
      <c r="DM111" s="18">
        <f t="shared" ca="1" si="115"/>
        <v>2.7045824441599091</v>
      </c>
      <c r="DN111" s="18">
        <f t="shared" ca="1" si="116"/>
        <v>2.7353671763199516</v>
      </c>
      <c r="DO111" s="9"/>
      <c r="DP111" s="9"/>
      <c r="DQ111" s="94">
        <v>3.4642012170102081E-3</v>
      </c>
      <c r="DR111" s="94">
        <v>3.4642012170102081E-3</v>
      </c>
      <c r="DS111" s="94">
        <v>2.9875629355473297E-3</v>
      </c>
      <c r="DT111" s="94">
        <f t="shared" ca="1" si="92"/>
        <v>1.1113621718427025E-2</v>
      </c>
      <c r="DU111" s="87">
        <f ca="1">(BJ111-CF111)/(CF111-CE111)</f>
        <v>-4.0193393552859787E-2</v>
      </c>
      <c r="DV111" s="46"/>
      <c r="DW111" s="43">
        <f>_xlfn.STDEV.P(BF111:BI111)</f>
        <v>6.2199276523123632E-2</v>
      </c>
      <c r="DX111" s="76">
        <f ca="1">BO111-$DT$2</f>
        <v>2.1599999999999842E-2</v>
      </c>
      <c r="DY111" s="76">
        <f ca="1">BO111-BP111*100</f>
        <v>2.8237999999999994</v>
      </c>
      <c r="DZ111" s="101"/>
      <c r="EA111" s="100">
        <v>0.29869999999999997</v>
      </c>
      <c r="EB111" s="107">
        <v>-1.0137</v>
      </c>
      <c r="EC111" s="107">
        <v>-0.89049999999999963</v>
      </c>
      <c r="ED111" s="98">
        <f t="shared" ca="1" si="93"/>
        <v>-2.8021999999999996</v>
      </c>
      <c r="EE111" s="66"/>
      <c r="EF111" s="66"/>
      <c r="EH111" s="2" t="e" vm="111">
        <v>#VALUE!</v>
      </c>
      <c r="EJ111" s="10" cm="1">
        <f t="array" aca="1" ref="EJ111" ca="1">_FV(EH111,"Ações em circulação",TRUE)</f>
        <v>1206361000</v>
      </c>
      <c r="EK111" s="21">
        <f>VLOOKUP(BK111,Fundamentus!A:U,5,FALSE)</f>
        <v>4.3390000000000004</v>
      </c>
      <c r="EL111" s="2">
        <f ca="1">(BJ111*EJ111)/EK111</f>
        <v>756234597.83360219</v>
      </c>
      <c r="EM111" s="20">
        <v>258765685.6234155</v>
      </c>
      <c r="EN111" s="20">
        <f t="shared" ca="1" si="94"/>
        <v>254094824.87209034</v>
      </c>
      <c r="EP111" s="19">
        <f t="shared" ca="1" si="89"/>
        <v>-1.8050541516245411E-2</v>
      </c>
      <c r="EQ111" s="40" t="str">
        <f>IF(VLOOKUP(BK111,Fundamentus!A:U,3,FALSE)&lt;15,"Bom",IF(VLOOKUP(BK111,Fundamentus!A:U,3,FALSE)&gt;15,"Ruim","n/a"))</f>
        <v>Bom</v>
      </c>
      <c r="ER111" s="36" t="str">
        <f>IF(VLOOKUP(BK111,Fundamentus!A:U,4,FALSE)&lt;1,"Baixo",IF(VLOOKUP(BK111,Fundamentus!A:U,4,FALSE)&lt;1.5,"Moderado",IF(VLOOKUP(BK111,Fundamentus!A:U,4,FALSE)&gt;1.5,"Alto","n/a")))</f>
        <v>Moderado</v>
      </c>
      <c r="ES111" s="20" t="str">
        <f>IF(VLOOKUP(BK111,Fundamentus!A:U,8,FALSE)&lt;0,"Risco elevado",IF(VLOOKUP(BK111,Fundamentus!A:U,8,FALSE)&lt;1,"Saudável",IF(VLOOKUP(BK111,Fundamentus!A:U,8,FALSE)&lt;3,"Estável",IF(VLOOKUP(BK111,Fundamentus!A:U,8,FALSE)&gt;3,"Alerta","n/a"))))</f>
        <v>Estável</v>
      </c>
      <c r="ET111" s="36" t="str">
        <f t="shared" si="95"/>
        <v>Bom</v>
      </c>
      <c r="EU111" s="20" t="str">
        <f>IF(VLOOKUP(BK111,Fundamentus!A:U,12,FALSE)&lt;2,"Subvalorizada",IF(VLOOKUP(BK111,Fundamentus!A:U,12,FALSE)&lt;6,"Muita barata",IF(VLOOKUP(BK111,Fundamentus!A:U,12,FALSE)&lt;6,"Barata",IF(VLOOKUP(BK111,Fundamentus!A:U,12,FALSE)&lt;8,"Atrativa",IF(VLOOKUP(BK111,Fundamentus!A:U,12,FALSE)&gt;8,"Supervalorizada","n/a")))))</f>
        <v>Supervalorizada</v>
      </c>
      <c r="EW111" s="20" t="str">
        <f>IF(VLOOKUP(BK111,Fundamentus!A:U,17,FALSE)&lt;0.1,"Fraco retorno",IF(VLOOKUP(BK111,Fundamentus!A:U,17,FALSE)&gt;0.1,"Bom retorno","n/a"))</f>
        <v>Fraco retorno</v>
      </c>
      <c r="EX111" s="20" t="str">
        <f>IF(VLOOKUP(BK111,Fundamentus!A:U,16,FALSE)&lt;0.1,"Ineficiente",IF(VLOOKUP(BK111,Fundamentus!A:U,16,FALSE)&gt;0.1,"Eficiente","n/a"))</f>
        <v>Eficiente</v>
      </c>
      <c r="EY111" s="41" t="str">
        <f>IF(VLOOKUP(BK111,Fundamentus!A:U,16,FALSE)&lt;0.1,"Oper. Ineficiente",IF(VLOOKUP(BK111,Fundamentus!A:U,16,FALSE)&gt;0.1,"Oper.Eficiente","n/a"))</f>
        <v>Oper.Eficiente</v>
      </c>
      <c r="EZ111" s="42">
        <f>VLOOKUP(BK111,Fundamentus!A:U,14,FALSE)</f>
        <v>0.33600000000000002</v>
      </c>
      <c r="FA111" s="20" t="str">
        <f>IF(VLOOKUP(BK111,Fundamentus!A:U,21,FALSE)&lt;0,"Negativo",IF(VLOOKUP(BK111,Fundamentus!A:U,21,FALSE)&lt;0.05,"Fraco",IF(VLOOKUP(BK111,Fundamentus!A:U,21,FALSE)&lt;0.1,"Bom",IF(VLOOKUP(BK111,Fundamentus!A:U,21,FALSE)&gt;0.1,"Muito bom","n/a"))))</f>
        <v>Muito bom</v>
      </c>
      <c r="FC111" s="37" t="str">
        <f>IF(VLOOKUP(BK111,Fundamentus!A:U,15,FALSE)&gt;1,"Bom",IF(VLOOKUP(BK111,Fundamentus!A:U,15,FALSE)&lt;1,"Ruim","n/a"))</f>
        <v>Bom</v>
      </c>
      <c r="FD111" s="20" t="str">
        <f>IF(VLOOKUP(BK111,Fundamentus!A:U,20,FALSE)&lt;0.5,"Baixa",IF(VLOOKUP(BK111,Fundamentus!A:U,20,FALSE)&lt;1,"Moderada",IF(VLOOKUP(BK111,Fundamentus!A:U,20,FALSE)&lt;2,"Alerta",IF(VLOOKUP(BK111,Fundamentus!A:U,20,FALSE)&gt;2,"Alta","n/a"))))</f>
        <v>Moderada</v>
      </c>
      <c r="FE111" s="10"/>
    </row>
    <row r="112" spans="1:161" s="2" customFormat="1" ht="11.25" hidden="1"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8">
        <v>2.4700000000000002</v>
      </c>
      <c r="BC112" s="62">
        <v>2.52</v>
      </c>
      <c r="BD112" s="62">
        <v>2.58</v>
      </c>
      <c r="BE112" s="62">
        <v>2.72</v>
      </c>
      <c r="BF112" s="62">
        <v>2.69</v>
      </c>
      <c r="BG112" s="81">
        <v>2.65</v>
      </c>
      <c r="BH112" s="62">
        <v>2.6</v>
      </c>
      <c r="BI112" s="62">
        <v>2.77</v>
      </c>
      <c r="BJ112" s="62" cm="1">
        <f t="array" aca="1" ref="BJ112" ca="1">_FV(EH112,"Preço")</f>
        <v>2.72</v>
      </c>
      <c r="BK112" s="83" t="s">
        <v>108</v>
      </c>
      <c r="BL112" s="44" cm="1">
        <f t="array" aca="1" ref="BL112" ca="1">_FV(EH112,"Média de volume",TRUE)</f>
        <v>51640</v>
      </c>
      <c r="BM112" s="44">
        <v>6700</v>
      </c>
      <c r="BN112" s="44" cm="1">
        <f t="array" aca="1" ref="BN112" ca="1">_FV(EH112,"Volume")</f>
        <v>9200</v>
      </c>
      <c r="BO112" s="32" cm="1">
        <f t="array" aca="1" ref="BO112" ca="1">_FV(EH112,"Beta")</f>
        <v>1.0186999999999999</v>
      </c>
      <c r="BP112" s="86" cm="1">
        <f t="array" aca="1" ref="BP112" ca="1">_FV(EH112,"Variação (%)",TRUE)</f>
        <v>-1.8050999999999998E-2</v>
      </c>
      <c r="BQ112" s="48"/>
      <c r="BR112" s="48"/>
      <c r="BT112" s="20" cm="1">
        <f t="array" aca="1" ref="BT112" ca="1">_FV(EH112,"Baixo")</f>
        <v>2.72</v>
      </c>
      <c r="BU112" s="20" cm="1">
        <f t="array" aca="1" ref="BU112" ca="1">_FV(EH112,"Alto")</f>
        <v>2.86</v>
      </c>
      <c r="BV112" s="32"/>
      <c r="BW112" s="73">
        <f ca="1">SQRT(22.5*(BJ112/VLOOKUP(BK112,Fundamentus!A:U,3,FALSE))*(BJ112/VLOOKUP(BK112,Fundamentus!A:U,4,FALSE)))</f>
        <v>3.2105090594877059</v>
      </c>
      <c r="BY112" s="72">
        <f t="shared" ca="1" si="90"/>
        <v>-1.8050541516245425E-2</v>
      </c>
      <c r="BZ112" s="8"/>
      <c r="CA112" s="71">
        <f t="shared" si="98"/>
        <v>2.0499999999999998</v>
      </c>
      <c r="CB112" s="71">
        <f t="shared" si="91"/>
        <v>2.99</v>
      </c>
      <c r="CC112" s="71">
        <f t="shared" si="99"/>
        <v>2.5042622950819671</v>
      </c>
      <c r="CD112" s="17"/>
      <c r="CE112" s="43">
        <f t="shared" si="96"/>
        <v>2.6006014469537471</v>
      </c>
      <c r="CF112" s="18">
        <f>FORECAST("04/07/2025", BF112:BI112, $BF$5:$BI$5)</f>
        <v>2.7249999999999943</v>
      </c>
      <c r="CG112" s="43">
        <f t="shared" si="97"/>
        <v>2.8493985530462416</v>
      </c>
      <c r="CI112" s="17"/>
      <c r="CJ112" s="20">
        <f>CA112-2*(CB112-CM112)</f>
        <v>1.2766666666666664</v>
      </c>
      <c r="CK112" s="20">
        <f>CM112-(CB112-CA112)</f>
        <v>1.6633333333333331</v>
      </c>
      <c r="CL112" s="20">
        <f>2*CM112-CB112</f>
        <v>2.2166666666666668</v>
      </c>
      <c r="CM112" s="48">
        <f>(CB112+CA112+BI112)/3</f>
        <v>2.6033333333333335</v>
      </c>
      <c r="CN112" s="20">
        <f>2*CM112-CA112</f>
        <v>3.1566666666666672</v>
      </c>
      <c r="CO112" s="20">
        <f>CM112+(CB112-CA112)</f>
        <v>3.5433333333333339</v>
      </c>
      <c r="CP112" s="20">
        <f>CB112+2*(CM112-CA112)</f>
        <v>4.0966666666666676</v>
      </c>
      <c r="CQ112" s="2" cm="1">
        <f t="array" aca="1" ref="CQ112" ca="1">MAX(_xlfn._xlws.FILTER(CJ112:CP112,CJ112:CP112&lt;BJ112))</f>
        <v>2.6033333333333335</v>
      </c>
      <c r="CR112" s="2" cm="1">
        <f t="array" aca="1" ref="CR112" ca="1">MIN(_xlfn._xlws.FILTER($CJ112:$CP112,$CJ112:$CP112&gt;BJ112))</f>
        <v>3.1566666666666672</v>
      </c>
      <c r="CS112" s="19">
        <f t="shared" ca="1" si="100"/>
        <v>0.21254801536491685</v>
      </c>
      <c r="CT112" s="23">
        <f t="shared" ca="1" si="101"/>
        <v>-0.10627400768245843</v>
      </c>
      <c r="CU112" s="23">
        <f t="shared" ca="1" si="102"/>
        <v>-7.084933845497228E-2</v>
      </c>
      <c r="CV112" s="23">
        <f t="shared" ca="1" si="103"/>
        <v>-4.2509603072983369E-2</v>
      </c>
      <c r="CW112" s="23">
        <f t="shared" ca="1" si="104"/>
        <v>-2.3616446151657429E-2</v>
      </c>
      <c r="CX112" s="23">
        <f t="shared" ca="1" si="105"/>
        <v>-1.2502824433230404E-2</v>
      </c>
      <c r="CY112" s="23">
        <f t="shared" ca="1" si="106"/>
        <v>-6.440848950452026E-3</v>
      </c>
      <c r="CZ112" s="23">
        <f t="shared" ca="1" si="107"/>
        <v>-3.2699694671525668E-3</v>
      </c>
      <c r="DA112" s="24">
        <f t="shared" ca="1" si="108"/>
        <v>3.2699694671525668E-3</v>
      </c>
      <c r="DB112" s="24">
        <f t="shared" ca="1" si="109"/>
        <v>6.440848950452026E-3</v>
      </c>
      <c r="DC112" s="24">
        <f t="shared" ca="1" si="110"/>
        <v>1.2502824433230404E-2</v>
      </c>
      <c r="DD112" s="24">
        <f t="shared" ca="1" si="111"/>
        <v>2.3616446151657429E-2</v>
      </c>
      <c r="DE112" s="24">
        <f t="shared" ca="1" si="112"/>
        <v>4.2509603072983369E-2</v>
      </c>
      <c r="DF112" s="24">
        <f t="shared" ca="1" si="113"/>
        <v>7.084933845497228E-2</v>
      </c>
      <c r="DG112" s="24">
        <f t="shared" ca="1" si="114"/>
        <v>0.10627400768245843</v>
      </c>
      <c r="DI112" s="19" cm="1">
        <f t="array" aca="1" ref="DI112" ca="1">MAX(_xlfn._xlws.FILTER(CT112:DG112,CT112:DG112&lt;BP112))</f>
        <v>-2.3616446151657429E-2</v>
      </c>
      <c r="DJ112" s="19" cm="1">
        <f t="array" aca="1" ref="DJ112" ca="1">MIN(_xlfn._xlws.FILTER(CT112:DG112,CT112:DG112&gt;BP112))</f>
        <v>-1.2502824433230404E-2</v>
      </c>
      <c r="DK112" s="2" cm="1">
        <f t="array" aca="1" ref="DK112" ca="1">_FV(EH112,"Fechamento anterior",TRUE)</f>
        <v>2.77</v>
      </c>
      <c r="DL112" s="36">
        <f ca="1">(BJ112-DM112)/(DN112-DM112)</f>
        <v>0.50081825496934218</v>
      </c>
      <c r="DM112" s="18">
        <f t="shared" ca="1" si="115"/>
        <v>2.7045824441599091</v>
      </c>
      <c r="DN112" s="18">
        <f t="shared" ca="1" si="116"/>
        <v>2.7353671763199516</v>
      </c>
      <c r="DO112" s="9"/>
      <c r="DP112" s="9"/>
      <c r="DQ112" s="94">
        <v>3.4642012170102081E-3</v>
      </c>
      <c r="DR112" s="94">
        <v>3.4642012170102081E-3</v>
      </c>
      <c r="DS112" s="94">
        <v>2.9875629355473297E-3</v>
      </c>
      <c r="DT112" s="94">
        <f t="shared" ca="1" si="92"/>
        <v>1.1113621718427025E-2</v>
      </c>
      <c r="DU112" s="87">
        <f ca="1">(BJ112-CF112)/(CF112-CE112)</f>
        <v>-4.0193393552859787E-2</v>
      </c>
      <c r="DV112" s="46"/>
      <c r="DW112" s="43">
        <f>_xlfn.STDEV.P(BF112:BI112)</f>
        <v>6.2199276523123632E-2</v>
      </c>
      <c r="DX112" s="76">
        <f ca="1">BO112-$DT$2</f>
        <v>2.1599999999999842E-2</v>
      </c>
      <c r="DY112" s="76">
        <f ca="1">BO112-BP112*100</f>
        <v>2.8237999999999994</v>
      </c>
      <c r="DZ112" s="101"/>
      <c r="EA112" s="100">
        <v>0.29869999999999997</v>
      </c>
      <c r="EB112" s="107">
        <v>-1.0137</v>
      </c>
      <c r="EC112" s="107">
        <v>-0.89049999999999963</v>
      </c>
      <c r="ED112" s="98">
        <f t="shared" ca="1" si="93"/>
        <v>-2.8021999999999996</v>
      </c>
      <c r="EE112" s="66"/>
      <c r="EF112" s="66"/>
      <c r="EH112" s="2" t="e" vm="111">
        <v>#VALUE!</v>
      </c>
      <c r="EJ112" s="10" cm="1">
        <f t="array" aca="1" ref="EJ112" ca="1">_FV(EH112,"Ações em circulação",TRUE)</f>
        <v>1206361000</v>
      </c>
      <c r="EK112" s="21">
        <f>VLOOKUP(BK112,Fundamentus!A:U,5,FALSE)</f>
        <v>4.3390000000000004</v>
      </c>
      <c r="EL112" s="2">
        <f ca="1">(BJ112*EJ112)/EK112</f>
        <v>756234597.83360219</v>
      </c>
      <c r="EM112" s="20">
        <v>258765685.6234155</v>
      </c>
      <c r="EN112" s="20">
        <f t="shared" ca="1" si="94"/>
        <v>254094824.87209034</v>
      </c>
      <c r="EP112" s="19">
        <f t="shared" ca="1" si="89"/>
        <v>-1.8050541516245411E-2</v>
      </c>
      <c r="EQ112" s="40" t="str">
        <f>IF(VLOOKUP(BK112,Fundamentus!A:U,3,FALSE)&lt;15,"Bom",IF(VLOOKUP(BK112,Fundamentus!A:U,3,FALSE)&gt;15,"Ruim","n/a"))</f>
        <v>Bom</v>
      </c>
      <c r="ER112" s="36" t="str">
        <f>IF(VLOOKUP(BK112,Fundamentus!A:U,4,FALSE)&lt;1,"Baixo",IF(VLOOKUP(BK112,Fundamentus!A:U,4,FALSE)&lt;1.5,"Moderado",IF(VLOOKUP(BK112,Fundamentus!A:U,4,FALSE)&gt;1.5,"Alto","n/a")))</f>
        <v>Moderado</v>
      </c>
      <c r="ES112" s="20" t="str">
        <f>IF(VLOOKUP(BK112,Fundamentus!A:U,8,FALSE)&lt;0,"Risco elevado",IF(VLOOKUP(BK112,Fundamentus!A:U,8,FALSE)&lt;1,"Saudável",IF(VLOOKUP(BK112,Fundamentus!A:U,8,FALSE)&lt;3,"Estável",IF(VLOOKUP(BK112,Fundamentus!A:U,8,FALSE)&gt;3,"Alerta","n/a"))))</f>
        <v>Estável</v>
      </c>
      <c r="ET112" s="36" t="str">
        <f t="shared" si="95"/>
        <v>Bom</v>
      </c>
      <c r="EU112" s="20" t="str">
        <f>IF(VLOOKUP(BK112,Fundamentus!A:U,12,FALSE)&lt;2,"Subvalorizada",IF(VLOOKUP(BK112,Fundamentus!A:U,12,FALSE)&lt;6,"Muita barata",IF(VLOOKUP(BK112,Fundamentus!A:U,12,FALSE)&lt;6,"Barata",IF(VLOOKUP(BK112,Fundamentus!A:U,12,FALSE)&lt;8,"Atrativa",IF(VLOOKUP(BK112,Fundamentus!A:U,12,FALSE)&gt;8,"Supervalorizada","n/a")))))</f>
        <v>Supervalorizada</v>
      </c>
      <c r="EW112" s="20" t="str">
        <f>IF(VLOOKUP(BK112,Fundamentus!A:U,17,FALSE)&lt;0.1,"Fraco retorno",IF(VLOOKUP(BK112,Fundamentus!A:U,17,FALSE)&gt;0.1,"Bom retorno","n/a"))</f>
        <v>Fraco retorno</v>
      </c>
      <c r="EX112" s="20" t="str">
        <f>IF(VLOOKUP(BK112,Fundamentus!A:U,16,FALSE)&lt;0.1,"Ineficiente",IF(VLOOKUP(BK112,Fundamentus!A:U,16,FALSE)&gt;0.1,"Eficiente","n/a"))</f>
        <v>Eficiente</v>
      </c>
      <c r="EY112" s="41" t="str">
        <f>IF(VLOOKUP(BK112,Fundamentus!A:U,16,FALSE)&lt;0.1,"Oper. Ineficiente",IF(VLOOKUP(BK112,Fundamentus!A:U,16,FALSE)&gt;0.1,"Oper.Eficiente","n/a"))</f>
        <v>Oper.Eficiente</v>
      </c>
      <c r="EZ112" s="42">
        <f>VLOOKUP(BK112,Fundamentus!A:U,14,FALSE)</f>
        <v>0.33600000000000002</v>
      </c>
      <c r="FA112" s="20" t="str">
        <f>IF(VLOOKUP(BK112,Fundamentus!A:U,21,FALSE)&lt;0,"Negativo",IF(VLOOKUP(BK112,Fundamentus!A:U,21,FALSE)&lt;0.05,"Fraco",IF(VLOOKUP(BK112,Fundamentus!A:U,21,FALSE)&lt;0.1,"Bom",IF(VLOOKUP(BK112,Fundamentus!A:U,21,FALSE)&gt;0.1,"Muito bom","n/a"))))</f>
        <v>Muito bom</v>
      </c>
      <c r="FC112" s="37" t="str">
        <f>IF(VLOOKUP(BK112,Fundamentus!A:U,15,FALSE)&gt;1,"Bom",IF(VLOOKUP(BK112,Fundamentus!A:U,15,FALSE)&lt;1,"Ruim","n/a"))</f>
        <v>Bom</v>
      </c>
      <c r="FD112" s="20" t="str">
        <f>IF(VLOOKUP(BK112,Fundamentus!A:U,20,FALSE)&lt;0.5,"Baixa",IF(VLOOKUP(BK112,Fundamentus!A:U,20,FALSE)&lt;1,"Moderada",IF(VLOOKUP(BK112,Fundamentus!A:U,20,FALSE)&lt;2,"Alerta",IF(VLOOKUP(BK112,Fundamentus!A:U,20,FALSE)&gt;2,"Alta","n/a"))))</f>
        <v>Moderada</v>
      </c>
      <c r="FE112" s="10"/>
    </row>
    <row r="113" spans="1:161" s="2" customFormat="1" ht="11.25" hidden="1"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8">
        <v>7.56</v>
      </c>
      <c r="BC113" s="62">
        <v>7.56</v>
      </c>
      <c r="BD113" s="62">
        <v>7.56</v>
      </c>
      <c r="BE113" s="62">
        <v>7.56</v>
      </c>
      <c r="BF113" s="62">
        <v>7.56</v>
      </c>
      <c r="BG113" s="81">
        <v>7.56</v>
      </c>
      <c r="BH113" s="62">
        <v>7.56</v>
      </c>
      <c r="BI113" s="62">
        <v>7.56</v>
      </c>
      <c r="BJ113" s="62">
        <v>7.56</v>
      </c>
      <c r="BK113" s="83" t="s">
        <v>109</v>
      </c>
      <c r="BL113" s="44" cm="1">
        <f t="array" aca="1" ref="BL113" ca="1">_FV(EH113,"Média de volume",TRUE)</f>
        <v>928190</v>
      </c>
      <c r="BM113" s="44">
        <v>781700</v>
      </c>
      <c r="BN113" s="44" cm="1">
        <f t="array" aca="1" ref="BN113" ca="1">_FV(EH113,"Volume")</f>
        <v>538000</v>
      </c>
      <c r="BO113" s="32" cm="1">
        <f t="array" aca="1" ref="BO113" ca="1">_FV(EH113,"Beta")</f>
        <v>0.94169999999999998</v>
      </c>
      <c r="BP113" s="86" cm="1">
        <f t="array" aca="1" ref="BP113" ca="1">_FV(EH113,"Variação (%)",TRUE)</f>
        <v>-1.235E-3</v>
      </c>
      <c r="BQ113" s="48"/>
      <c r="BR113" s="48"/>
      <c r="BT113" s="20" cm="1">
        <f t="array" aca="1" ref="BT113" ca="1">_FV(EH113,"Baixo")</f>
        <v>8.06</v>
      </c>
      <c r="BU113" s="20" cm="1">
        <f t="array" aca="1" ref="BU113" ca="1">_FV(EH113,"Alto")</f>
        <v>8.2200000000000006</v>
      </c>
      <c r="BV113" s="32"/>
      <c r="BW113" s="73">
        <f>SQRT(22.5*(BJ113/VLOOKUP(BK113,Fundamentus!A:U,3,FALSE))*(BJ113/VLOOKUP(BK113,Fundamentus!A:U,4,FALSE)))</f>
        <v>8.3505698013645429</v>
      </c>
      <c r="BY113" s="72">
        <f t="shared" si="90"/>
        <v>0</v>
      </c>
      <c r="BZ113" s="8"/>
      <c r="CA113" s="71">
        <f t="shared" si="98"/>
        <v>7.43</v>
      </c>
      <c r="CB113" s="71">
        <f t="shared" si="91"/>
        <v>11.51</v>
      </c>
      <c r="CC113" s="71">
        <f t="shared" si="99"/>
        <v>9.3288524590163853</v>
      </c>
      <c r="CD113" s="17"/>
      <c r="CE113" s="43">
        <f t="shared" si="96"/>
        <v>7.56</v>
      </c>
      <c r="CF113" s="18">
        <f>FORECAST("04/07/2025", BF113:BI113, $BF$5:$BI$5)</f>
        <v>7.56</v>
      </c>
      <c r="CG113" s="43">
        <f t="shared" si="97"/>
        <v>7.56</v>
      </c>
      <c r="CI113" s="17"/>
      <c r="CJ113" s="20">
        <f>CA113-2*(CB113-CM113)</f>
        <v>2.0766666666666644</v>
      </c>
      <c r="CK113" s="20">
        <f>CM113-(CB113-CA113)</f>
        <v>4.7533333333333321</v>
      </c>
      <c r="CL113" s="20">
        <f>2*CM113-CB113</f>
        <v>6.1566666666666645</v>
      </c>
      <c r="CM113" s="48">
        <f>(CB113+CA113+BI113)/3</f>
        <v>8.8333333333333321</v>
      </c>
      <c r="CN113" s="20">
        <f>2*CM113-CA113</f>
        <v>10.236666666666665</v>
      </c>
      <c r="CO113" s="20">
        <f>CM113+(CB113-CA113)</f>
        <v>12.913333333333332</v>
      </c>
      <c r="CP113" s="20">
        <f>CB113+2*(CM113-CA113)</f>
        <v>14.316666666666665</v>
      </c>
      <c r="CQ113" s="2" cm="1">
        <f t="array" ref="CQ113">MAX(_xlfn._xlws.FILTER(CJ113:CP113,CJ113:CP113&lt;BJ113))</f>
        <v>6.1566666666666645</v>
      </c>
      <c r="CR113" s="2" cm="1">
        <f t="array" ref="CR113">MIN(_xlfn._xlws.FILTER($CJ113:$CP113,$CJ113:$CP113&gt;BJ113))</f>
        <v>8.8333333333333321</v>
      </c>
      <c r="CS113" s="19">
        <f t="shared" si="100"/>
        <v>0.43475906876015191</v>
      </c>
      <c r="CT113" s="23">
        <f t="shared" si="101"/>
        <v>-0.21737953438007596</v>
      </c>
      <c r="CU113" s="23">
        <f t="shared" si="102"/>
        <v>-0.1449196895867173</v>
      </c>
      <c r="CV113" s="23">
        <f t="shared" si="103"/>
        <v>-8.6951813752030385E-2</v>
      </c>
      <c r="CW113" s="23">
        <f t="shared" si="104"/>
        <v>-4.8306563195572437E-2</v>
      </c>
      <c r="CX113" s="23">
        <f t="shared" si="105"/>
        <v>-2.5574062868244232E-2</v>
      </c>
      <c r="CY113" s="23">
        <f t="shared" si="106"/>
        <v>-1.3174517235156119E-2</v>
      </c>
      <c r="CZ113" s="23">
        <f t="shared" si="107"/>
        <v>-6.6886010578484914E-3</v>
      </c>
      <c r="DA113" s="24">
        <f t="shared" si="108"/>
        <v>6.6886010578484914E-3</v>
      </c>
      <c r="DB113" s="24">
        <f t="shared" si="109"/>
        <v>1.3174517235156119E-2</v>
      </c>
      <c r="DC113" s="24">
        <f t="shared" si="110"/>
        <v>2.5574062868244232E-2</v>
      </c>
      <c r="DD113" s="24">
        <f t="shared" si="111"/>
        <v>4.8306563195572437E-2</v>
      </c>
      <c r="DE113" s="24">
        <f t="shared" si="112"/>
        <v>8.6951813752030385E-2</v>
      </c>
      <c r="DF113" s="24">
        <f t="shared" si="113"/>
        <v>0.1449196895867173</v>
      </c>
      <c r="DG113" s="24">
        <f t="shared" si="114"/>
        <v>0.21737953438007596</v>
      </c>
      <c r="DI113" s="19" cm="1">
        <f t="array" aca="1" ref="DI113" ca="1">MAX(_xlfn._xlws.FILTER(CT113:DG113,CT113:DG113&lt;BP113))</f>
        <v>-6.6886010578484914E-3</v>
      </c>
      <c r="DJ113" s="19" cm="1">
        <f t="array" aca="1" ref="DJ113" ca="1">MIN(_xlfn._xlws.FILTER(CT113:DG113,CT113:DG113&gt;BP113))</f>
        <v>6.6886010578484914E-3</v>
      </c>
      <c r="DK113" s="2" cm="1">
        <f t="array" aca="1" ref="DK113" ca="1">_FV(EH113,"Fechamento anterior",TRUE)</f>
        <v>8.1</v>
      </c>
      <c r="DL113" s="36">
        <f ca="1">(BJ113-DM113)/(DN113-DM113)</f>
        <v>-4.4836031548360813</v>
      </c>
      <c r="DM113" s="18">
        <f t="shared" ca="1" si="115"/>
        <v>8.0458223314314274</v>
      </c>
      <c r="DN113" s="18">
        <f t="shared" ca="1" si="116"/>
        <v>8.1541776685685718</v>
      </c>
      <c r="DO113" s="9"/>
      <c r="DP113" s="9"/>
      <c r="DQ113" s="94">
        <v>1.1610114681431704E-2</v>
      </c>
      <c r="DR113" s="94">
        <v>1.2525527569775357E-2</v>
      </c>
      <c r="DS113" s="94">
        <v>1.2399545633088113E-2</v>
      </c>
      <c r="DT113" s="94">
        <f t="shared" ca="1" si="92"/>
        <v>1.3377202115696983E-2</v>
      </c>
      <c r="DU113" s="87" t="e">
        <f>(BJ113-CF113)/(CF113-CE113)</f>
        <v>#DIV/0!</v>
      </c>
      <c r="DV113" s="46"/>
      <c r="DW113" s="43">
        <f>_xlfn.STDEV.P(BF113:BI113)</f>
        <v>0</v>
      </c>
      <c r="DX113" s="76">
        <f ca="1">BO113-$DT$2</f>
        <v>-5.5400000000000116E-2</v>
      </c>
      <c r="DY113" s="76">
        <f ca="1">BO113-BP113*100</f>
        <v>1.0651999999999999</v>
      </c>
      <c r="DZ113" s="101"/>
      <c r="EA113" s="100">
        <v>-0.7739999999999998</v>
      </c>
      <c r="EB113" s="107">
        <v>-0.92680000000000007</v>
      </c>
      <c r="EC113" s="107">
        <v>0.92720000000000002</v>
      </c>
      <c r="ED113" s="98">
        <f t="shared" ca="1" si="93"/>
        <v>-1.1206</v>
      </c>
      <c r="EE113" s="66"/>
      <c r="EF113" s="66"/>
      <c r="EH113" s="2" t="e" vm="112">
        <v>#VALUE!</v>
      </c>
      <c r="EJ113" s="10" cm="1">
        <f t="array" aca="1" ref="EJ113" ca="1">_FV(EH113,"Ações em circulação",TRUE)</f>
        <v>179720100</v>
      </c>
      <c r="EK113" s="21">
        <f>VLOOKUP(BK113,Fundamentus!A:U,5,FALSE)</f>
        <v>0.95199999999999996</v>
      </c>
      <c r="EL113" s="2">
        <f ca="1">(BJ113*EJ113)/EK113</f>
        <v>1427189029.4117649</v>
      </c>
      <c r="EM113" s="20">
        <v>155420885.3029412</v>
      </c>
      <c r="EN113" s="20">
        <f t="shared" ca="1" si="94"/>
        <v>155420885.3029412</v>
      </c>
      <c r="EP113" s="19">
        <f t="shared" ca="1" si="89"/>
        <v>0</v>
      </c>
      <c r="EQ113" s="40" t="str">
        <f>IF(VLOOKUP(BK113,Fundamentus!A:U,3,FALSE)&lt;15,"Bom",IF(VLOOKUP(BK113,Fundamentus!A:U,3,FALSE)&gt;15,"Ruim","n/a"))</f>
        <v>Bom</v>
      </c>
      <c r="ER113" s="36" t="str">
        <f>IF(VLOOKUP(BK113,Fundamentus!A:U,4,FALSE)&lt;1,"Baixo",IF(VLOOKUP(BK113,Fundamentus!A:U,4,FALSE)&lt;1.5,"Moderado",IF(VLOOKUP(BK113,Fundamentus!A:U,4,FALSE)&gt;1.5,"Alto","n/a")))</f>
        <v>Alto</v>
      </c>
      <c r="ES113" s="20" t="str">
        <f>IF(VLOOKUP(BK113,Fundamentus!A:U,8,FALSE)&lt;0,"Risco elevado",IF(VLOOKUP(BK113,Fundamentus!A:U,8,FALSE)&lt;1,"Saudável",IF(VLOOKUP(BK113,Fundamentus!A:U,8,FALSE)&lt;3,"Estável",IF(VLOOKUP(BK113,Fundamentus!A:U,8,FALSE)&gt;3,"Alerta","n/a"))))</f>
        <v>n/a</v>
      </c>
      <c r="ET113" s="36" t="str">
        <f t="shared" si="95"/>
        <v>Ruim</v>
      </c>
      <c r="EU113" s="20" t="str">
        <f>IF(VLOOKUP(BK113,Fundamentus!A:U,12,FALSE)&lt;2,"Subvalorizada",IF(VLOOKUP(BK113,Fundamentus!A:U,12,FALSE)&lt;6,"Muita barata",IF(VLOOKUP(BK113,Fundamentus!A:U,12,FALSE)&lt;6,"Barata",IF(VLOOKUP(BK113,Fundamentus!A:U,12,FALSE)&lt;8,"Atrativa",IF(VLOOKUP(BK113,Fundamentus!A:U,12,FALSE)&gt;8,"Supervalorizada","n/a")))))</f>
        <v>Muita barata</v>
      </c>
      <c r="EW113" s="20" t="str">
        <f>IF(VLOOKUP(BK113,Fundamentus!A:U,17,FALSE)&lt;0.1,"Fraco retorno",IF(VLOOKUP(BK113,Fundamentus!A:U,17,FALSE)&gt;0.1,"Bom retorno","n/a"))</f>
        <v>Bom retorno</v>
      </c>
      <c r="EX113" s="20" t="str">
        <f>IF(VLOOKUP(BK113,Fundamentus!A:U,16,FALSE)&lt;0.1,"Ineficiente",IF(VLOOKUP(BK113,Fundamentus!A:U,16,FALSE)&gt;0.1,"Eficiente","n/a"))</f>
        <v>Eficiente</v>
      </c>
      <c r="EY113" s="41" t="str">
        <f>IF(VLOOKUP(BK113,Fundamentus!A:U,16,FALSE)&lt;0.1,"Oper. Ineficiente",IF(VLOOKUP(BK113,Fundamentus!A:U,16,FALSE)&gt;0.1,"Oper.Eficiente","n/a"))</f>
        <v>Oper.Eficiente</v>
      </c>
      <c r="EZ113" s="42">
        <f>VLOOKUP(BK113,Fundamentus!A:U,14,FALSE)</f>
        <v>0.1089</v>
      </c>
      <c r="FA113" s="20" t="str">
        <f>IF(VLOOKUP(BK113,Fundamentus!A:U,21,FALSE)&lt;0,"Negativo",IF(VLOOKUP(BK113,Fundamentus!A:U,21,FALSE)&lt;0.05,"Fraco",IF(VLOOKUP(BK113,Fundamentus!A:U,21,FALSE)&lt;0.1,"Bom",IF(VLOOKUP(BK113,Fundamentus!A:U,21,FALSE)&gt;0.1,"Muito bom","n/a"))))</f>
        <v>Muito bom</v>
      </c>
      <c r="FC113" s="37" t="str">
        <f>IF(VLOOKUP(BK113,Fundamentus!A:U,15,FALSE)&gt;1,"Bom",IF(VLOOKUP(BK113,Fundamentus!A:U,15,FALSE)&lt;1,"Ruim","n/a"))</f>
        <v>Bom</v>
      </c>
      <c r="FD113" s="20" t="str">
        <f>IF(VLOOKUP(BK113,Fundamentus!A:U,20,FALSE)&lt;0.5,"Baixa",IF(VLOOKUP(BK113,Fundamentus!A:U,20,FALSE)&lt;1,"Moderada",IF(VLOOKUP(BK113,Fundamentus!A:U,20,FALSE)&lt;2,"Alerta",IF(VLOOKUP(BK113,Fundamentus!A:U,20,FALSE)&gt;2,"Alta","n/a"))))</f>
        <v>Baixa</v>
      </c>
      <c r="FE113" s="10"/>
    </row>
    <row r="114" spans="1:161" s="2" customFormat="1" ht="11.25" hidden="1"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8">
        <v>15.44</v>
      </c>
      <c r="BC114" s="62">
        <v>17.420000000000002</v>
      </c>
      <c r="BD114" s="62">
        <v>17.600000000000001</v>
      </c>
      <c r="BE114" s="62">
        <v>18.16</v>
      </c>
      <c r="BF114" s="62">
        <v>17.559999999999999</v>
      </c>
      <c r="BG114" s="81">
        <v>18.36</v>
      </c>
      <c r="BH114" s="62">
        <v>18.559999999999999</v>
      </c>
      <c r="BI114" s="62">
        <v>19.559999999999999</v>
      </c>
      <c r="BJ114" s="62" cm="1">
        <f t="array" aca="1" ref="BJ114" ca="1">_FV(EH114,"Preço")</f>
        <v>19.47</v>
      </c>
      <c r="BK114" s="83" t="s">
        <v>205</v>
      </c>
      <c r="BL114" s="44" cm="1">
        <f t="array" aca="1" ref="BL114" ca="1">_FV(EH114,"Média de volume",TRUE)</f>
        <v>10734060</v>
      </c>
      <c r="BM114" s="44">
        <v>11166700</v>
      </c>
      <c r="BN114" s="44" cm="1">
        <f t="array" aca="1" ref="BN114" ca="1">_FV(EH114,"Volume")</f>
        <v>3202900</v>
      </c>
      <c r="BO114" s="32" cm="1">
        <f t="array" aca="1" ref="BO114" ca="1">_FV(EH114,"Beta")</f>
        <v>1.6640999999999999</v>
      </c>
      <c r="BP114" s="86" cm="1">
        <f t="array" aca="1" ref="BP114" ca="1">_FV(EH114,"Variação (%)",TRUE)</f>
        <v>-4.6010000000000001E-3</v>
      </c>
      <c r="BQ114" s="48"/>
      <c r="BR114" s="48"/>
      <c r="BT114" s="20" cm="1">
        <f t="array" aca="1" ref="BT114" ca="1">_FV(EH114,"Baixo")</f>
        <v>19.38</v>
      </c>
      <c r="BU114" s="20" cm="1">
        <f t="array" aca="1" ref="BU114" ca="1">_FV(EH114,"Alto")</f>
        <v>19.649999999999999</v>
      </c>
      <c r="BV114" s="32"/>
      <c r="BW114" s="73">
        <f ca="1">SQRT(22.5*(BJ114/VLOOKUP(BK114,Fundamentus!A:U,3,FALSE))*(BJ114/VLOOKUP(BK114,Fundamentus!A:U,4,FALSE)))</f>
        <v>17.219438365723104</v>
      </c>
      <c r="BY114" s="72">
        <f t="shared" ca="1" si="90"/>
        <v>-4.6012269938650241E-3</v>
      </c>
      <c r="BZ114" s="8"/>
      <c r="CA114" s="71">
        <f t="shared" si="98"/>
        <v>11.33</v>
      </c>
      <c r="CB114" s="71">
        <f t="shared" si="91"/>
        <v>19.559999999999999</v>
      </c>
      <c r="CC114" s="71">
        <f t="shared" si="99"/>
        <v>14.95696721311475</v>
      </c>
      <c r="CD114" s="17"/>
      <c r="CE114" s="43">
        <f t="shared" si="96"/>
        <v>18.6352193151229</v>
      </c>
      <c r="CF114" s="18">
        <f>FORECAST("04/07/2025", BF114:BI114, $BF$5:$BI$5)</f>
        <v>20.0600000000004</v>
      </c>
      <c r="CG114" s="43">
        <f t="shared" si="97"/>
        <v>21.484780684877901</v>
      </c>
      <c r="CI114" s="17"/>
      <c r="CJ114" s="20">
        <f>CA114-2*(CB114-CM114)</f>
        <v>5.8433333333333355</v>
      </c>
      <c r="CK114" s="20">
        <f>CM114-(CB114-CA114)</f>
        <v>8.5866666666666678</v>
      </c>
      <c r="CL114" s="20">
        <f>2*CM114-CB114</f>
        <v>14.073333333333334</v>
      </c>
      <c r="CM114" s="48">
        <f>(CB114+CA114+BI114)/3</f>
        <v>16.816666666666666</v>
      </c>
      <c r="CN114" s="20">
        <f>2*CM114-CA114</f>
        <v>22.303333333333335</v>
      </c>
      <c r="CO114" s="20">
        <f>CM114+(CB114-CA114)</f>
        <v>25.046666666666667</v>
      </c>
      <c r="CP114" s="20">
        <f>CB114+2*(CM114-CA114)</f>
        <v>30.533333333333331</v>
      </c>
      <c r="CQ114" s="2" cm="1">
        <f t="array" aca="1" ref="CQ114" ca="1">MAX(_xlfn._xlws.FILTER(CJ114:CP114,CJ114:CP114&lt;BJ114))</f>
        <v>16.816666666666666</v>
      </c>
      <c r="CR114" s="2" cm="1">
        <f t="array" aca="1" ref="CR114" ca="1">MIN(_xlfn._xlws.FILTER($CJ114:$CP114,$CJ114:$CP114&gt;BJ114))</f>
        <v>22.303333333333335</v>
      </c>
      <c r="CS114" s="19">
        <f t="shared" ca="1" si="100"/>
        <v>0.32626362735381575</v>
      </c>
      <c r="CT114" s="23">
        <f t="shared" ca="1" si="101"/>
        <v>-0.16313181367690788</v>
      </c>
      <c r="CU114" s="23">
        <f t="shared" ca="1" si="102"/>
        <v>-0.10875454245127192</v>
      </c>
      <c r="CV114" s="23">
        <f t="shared" ca="1" si="103"/>
        <v>-6.5252725470763148E-2</v>
      </c>
      <c r="CW114" s="23">
        <f t="shared" ca="1" si="104"/>
        <v>-3.625151415042397E-2</v>
      </c>
      <c r="CX114" s="23">
        <f t="shared" ca="1" si="105"/>
        <v>-1.919197807963622E-2</v>
      </c>
      <c r="CY114" s="23">
        <f t="shared" ca="1" si="106"/>
        <v>-9.8867765864792661E-3</v>
      </c>
      <c r="CZ114" s="23">
        <f t="shared" ca="1" si="107"/>
        <v>-5.019440420827935E-3</v>
      </c>
      <c r="DA114" s="24">
        <f t="shared" ca="1" si="108"/>
        <v>5.019440420827935E-3</v>
      </c>
      <c r="DB114" s="24">
        <f t="shared" ca="1" si="109"/>
        <v>9.8867765864792661E-3</v>
      </c>
      <c r="DC114" s="24">
        <f t="shared" ca="1" si="110"/>
        <v>1.919197807963622E-2</v>
      </c>
      <c r="DD114" s="24">
        <f t="shared" ca="1" si="111"/>
        <v>3.625151415042397E-2</v>
      </c>
      <c r="DE114" s="24">
        <f t="shared" ca="1" si="112"/>
        <v>6.5252725470763148E-2</v>
      </c>
      <c r="DF114" s="24">
        <f t="shared" ca="1" si="113"/>
        <v>0.10875454245127192</v>
      </c>
      <c r="DG114" s="24">
        <f t="shared" ca="1" si="114"/>
        <v>0.16313181367690788</v>
      </c>
      <c r="DI114" s="19" cm="1">
        <f t="array" aca="1" ref="DI114" ca="1">MAX(_xlfn._xlws.FILTER(CT114:DG114,CT114:DG114&lt;BP114))</f>
        <v>-5.019440420827935E-3</v>
      </c>
      <c r="DJ114" s="19" cm="1">
        <f t="array" aca="1" ref="DJ114" ca="1">MIN(_xlfn._xlws.FILTER(CT114:DG114,CT114:DG114&gt;BP114))</f>
        <v>5.019440420827935E-3</v>
      </c>
      <c r="DK114" s="2" cm="1">
        <f t="array" aca="1" ref="DK114" ca="1">_FV(EH114,"Fechamento anterior",TRUE)</f>
        <v>19.559999999999999</v>
      </c>
      <c r="DL114" s="36">
        <f ca="1">(BJ114-DM114)/(DN114-DM114)</f>
        <v>4.1659367568897876E-2</v>
      </c>
      <c r="DM114" s="18">
        <f t="shared" ca="1" si="115"/>
        <v>19.461819745368604</v>
      </c>
      <c r="DN114" s="18">
        <f t="shared" ca="1" si="116"/>
        <v>19.658180254631393</v>
      </c>
      <c r="DO114" s="9"/>
      <c r="DP114" s="9"/>
      <c r="DQ114" s="95">
        <v>7.748873552576644E-3</v>
      </c>
      <c r="DR114" s="95">
        <v>2.4150655905530546E-2</v>
      </c>
      <c r="DS114" s="95">
        <v>9.2630380107246307E-3</v>
      </c>
      <c r="DT114" s="95">
        <f t="shared" ca="1" si="92"/>
        <v>1.003888084165587E-2</v>
      </c>
      <c r="DU114" s="87">
        <f ca="1">(BJ114-CF114)/(CF114-CE114)</f>
        <v>-0.41409881974300355</v>
      </c>
      <c r="DV114" s="46"/>
      <c r="DW114" s="43">
        <f>_xlfn.STDEV.P(BF114:BI114)</f>
        <v>0.71239034243875032</v>
      </c>
      <c r="DX114" s="76">
        <f ca="1">BO114-$DT$2</f>
        <v>0.66699999999999982</v>
      </c>
      <c r="DY114" s="76">
        <f ca="1">BO114-BP114*100</f>
        <v>2.1242000000000001</v>
      </c>
      <c r="DZ114" s="101"/>
      <c r="EA114" s="100">
        <v>-0.6045999999999998</v>
      </c>
      <c r="EB114" s="107">
        <v>0.75930000000000009</v>
      </c>
      <c r="EC114" s="107">
        <v>0.33450000000000002</v>
      </c>
      <c r="ED114" s="98">
        <f t="shared" ca="1" si="93"/>
        <v>-1.4572000000000003</v>
      </c>
      <c r="EE114" s="66"/>
      <c r="EF114" s="66"/>
      <c r="EH114" s="2" t="e" vm="113">
        <v>#VALUE!</v>
      </c>
      <c r="EJ114" s="10" cm="1">
        <f t="array" aca="1" ref="EJ114" ca="1">_FV(EH114,"Ações em circulação",TRUE)</f>
        <v>1059550000</v>
      </c>
      <c r="EK114" s="21">
        <f>VLOOKUP(BK114,Fundamentus!A:U,5,FALSE)</f>
        <v>1.3160000000000001</v>
      </c>
      <c r="EL114" s="2">
        <f ca="1">(BJ114*EJ114)/EK114</f>
        <v>15675865121.580547</v>
      </c>
      <c r="EM114" s="20">
        <v>1362230263.6778114</v>
      </c>
      <c r="EN114" s="20">
        <f t="shared" ca="1" si="94"/>
        <v>1355962333.0167172</v>
      </c>
      <c r="EP114" s="19">
        <f t="shared" ca="1" si="89"/>
        <v>-4.6012269938650041E-3</v>
      </c>
      <c r="EQ114" s="40" t="str">
        <f>IF(VLOOKUP(BK114,Fundamentus!A:U,3,FALSE)&lt;15,"Bom",IF(VLOOKUP(BK114,Fundamentus!A:U,3,FALSE)&gt;15,"Ruim","n/a"))</f>
        <v>Ruim</v>
      </c>
      <c r="ER114" s="36" t="str">
        <f>IF(VLOOKUP(BK114,Fundamentus!A:U,4,FALSE)&lt;1,"Baixo",IF(VLOOKUP(BK114,Fundamentus!A:U,4,FALSE)&lt;1.5,"Moderado",IF(VLOOKUP(BK114,Fundamentus!A:U,4,FALSE)&gt;1.5,"Alto","n/a")))</f>
        <v>Alto</v>
      </c>
      <c r="ES114" s="20" t="str">
        <f>IF(VLOOKUP(BK114,Fundamentus!A:U,8,FALSE)&lt;0,"Risco elevado",IF(VLOOKUP(BK114,Fundamentus!A:U,8,FALSE)&lt;1,"Saudável",IF(VLOOKUP(BK114,Fundamentus!A:U,8,FALSE)&lt;3,"Estável",IF(VLOOKUP(BK114,Fundamentus!A:U,8,FALSE)&gt;3,"Alerta","n/a"))))</f>
        <v>Alerta</v>
      </c>
      <c r="ET114" s="36" t="str">
        <f t="shared" si="95"/>
        <v>Bom</v>
      </c>
      <c r="EU114" s="20" t="str">
        <f>IF(VLOOKUP(BK114,Fundamentus!A:U,12,FALSE)&lt;2,"Subvalorizada",IF(VLOOKUP(BK114,Fundamentus!A:U,12,FALSE)&lt;6,"Muita barata",IF(VLOOKUP(BK114,Fundamentus!A:U,12,FALSE)&lt;6,"Barata",IF(VLOOKUP(BK114,Fundamentus!A:U,12,FALSE)&lt;8,"Atrativa",IF(VLOOKUP(BK114,Fundamentus!A:U,12,FALSE)&gt;8,"Supervalorizada","n/a")))))</f>
        <v>Muita barata</v>
      </c>
      <c r="EW114" s="20" t="str">
        <f>IF(VLOOKUP(BK114,Fundamentus!A:U,17,FALSE)&lt;0.1,"Fraco retorno",IF(VLOOKUP(BK114,Fundamentus!A:U,17,FALSE)&gt;0.1,"Bom retorno","n/a"))</f>
        <v>Bom retorno</v>
      </c>
      <c r="EX114" s="20" t="str">
        <f>IF(VLOOKUP(BK114,Fundamentus!A:U,16,FALSE)&lt;0.1,"Ineficiente",IF(VLOOKUP(BK114,Fundamentus!A:U,16,FALSE)&gt;0.1,"Eficiente","n/a"))</f>
        <v>Eficiente</v>
      </c>
      <c r="EY114" s="41" t="str">
        <f>IF(VLOOKUP(BK114,Fundamentus!A:U,16,FALSE)&lt;0.1,"Oper. Ineficiente",IF(VLOOKUP(BK114,Fundamentus!A:U,16,FALSE)&gt;0.1,"Oper.Eficiente","n/a"))</f>
        <v>Oper.Eficiente</v>
      </c>
      <c r="EZ114" s="42">
        <f>VLOOKUP(BK114,Fundamentus!A:U,14,FALSE)</f>
        <v>8.6499999999999994E-2</v>
      </c>
      <c r="FA114" s="20" t="str">
        <f>IF(VLOOKUP(BK114,Fundamentus!A:U,21,FALSE)&lt;0,"Negativo",IF(VLOOKUP(BK114,Fundamentus!A:U,21,FALSE)&lt;0.05,"Fraco",IF(VLOOKUP(BK114,Fundamentus!A:U,21,FALSE)&lt;0.1,"Bom",IF(VLOOKUP(BK114,Fundamentus!A:U,21,FALSE)&gt;0.1,"Muito bom","n/a"))))</f>
        <v>Muito bom</v>
      </c>
      <c r="FC114" s="37" t="str">
        <f>IF(VLOOKUP(BK114,Fundamentus!A:U,15,FALSE)&gt;1,"Bom",IF(VLOOKUP(BK114,Fundamentus!A:U,15,FALSE)&lt;1,"Ruim","n/a"))</f>
        <v>Bom</v>
      </c>
      <c r="FD114" s="20" t="str">
        <f>IF(VLOOKUP(BK114,Fundamentus!A:U,20,FALSE)&lt;0.5,"Baixa",IF(VLOOKUP(BK114,Fundamentus!A:U,20,FALSE)&lt;1,"Moderada",IF(VLOOKUP(BK114,Fundamentus!A:U,20,FALSE)&lt;2,"Alerta",IF(VLOOKUP(BK114,Fundamentus!A:U,20,FALSE)&gt;2,"Alta","n/a"))))</f>
        <v>Baixa</v>
      </c>
      <c r="FE114" s="10">
        <v>1</v>
      </c>
    </row>
    <row r="115" spans="1:161" s="2" customFormat="1" ht="11.25" hidden="1"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8">
        <v>20.45</v>
      </c>
      <c r="BC115" s="62">
        <v>20.66</v>
      </c>
      <c r="BD115" s="62">
        <v>24.84</v>
      </c>
      <c r="BE115" s="62">
        <v>25.41</v>
      </c>
      <c r="BF115" s="62">
        <v>24.53</v>
      </c>
      <c r="BG115" s="81">
        <v>25.18</v>
      </c>
      <c r="BH115" s="62">
        <v>23.32</v>
      </c>
      <c r="BI115" s="62">
        <v>22.5</v>
      </c>
      <c r="BJ115" s="62" cm="1">
        <f t="array" aca="1" ref="BJ115" ca="1">_FV(EH115,"Preço")</f>
        <v>22.32</v>
      </c>
      <c r="BK115" s="83" t="s">
        <v>111</v>
      </c>
      <c r="BL115" s="44" cm="1">
        <f t="array" aca="1" ref="BL115" ca="1">_FV(EH115,"Média de volume",TRUE)</f>
        <v>7116410</v>
      </c>
      <c r="BM115" s="44">
        <v>7688500</v>
      </c>
      <c r="BN115" s="44" cm="1">
        <f t="array" aca="1" ref="BN115" ca="1">_FV(EH115,"Volume")</f>
        <v>1400700</v>
      </c>
      <c r="BO115" s="32" cm="1">
        <f t="array" aca="1" ref="BO115" ca="1">_FV(EH115,"Beta")</f>
        <v>0.94530000000000003</v>
      </c>
      <c r="BP115" s="86" cm="1">
        <f t="array" aca="1" ref="BP115" ca="1">_FV(EH115,"Variação (%)",TRUE)</f>
        <v>-8.0000000000000002E-3</v>
      </c>
      <c r="BQ115" s="48"/>
      <c r="BR115" s="48"/>
      <c r="BT115" s="20" cm="1">
        <f t="array" aca="1" ref="BT115" ca="1">_FV(EH115,"Baixo")</f>
        <v>22.18</v>
      </c>
      <c r="BU115" s="20" cm="1">
        <f t="array" aca="1" ref="BU115" ca="1">_FV(EH115,"Alto")</f>
        <v>22.52</v>
      </c>
      <c r="BV115" s="32"/>
      <c r="BW115" s="73">
        <f ca="1">SQRT(22.5*(BJ115/VLOOKUP(BK115,Fundamentus!A:U,3,FALSE))*(BJ115/VLOOKUP(BK115,Fundamentus!A:U,4,FALSE)))</f>
        <v>13.812534714647564</v>
      </c>
      <c r="BY115" s="72">
        <f t="shared" ca="1" si="90"/>
        <v>-7.999999999999988E-3</v>
      </c>
      <c r="BZ115" s="8"/>
      <c r="CA115" s="71">
        <f t="shared" si="98"/>
        <v>9.56</v>
      </c>
      <c r="CB115" s="71">
        <f t="shared" si="91"/>
        <v>25.41</v>
      </c>
      <c r="CC115" s="71">
        <f t="shared" si="99"/>
        <v>15.932213114754097</v>
      </c>
      <c r="CD115" s="17"/>
      <c r="CE115" s="43">
        <f t="shared" si="96"/>
        <v>19.814020663244833</v>
      </c>
      <c r="CF115" s="18">
        <f>FORECAST("04/07/2025", BF115:BI115, $BF$5:$BI$5)</f>
        <v>21.894999999999527</v>
      </c>
      <c r="CG115" s="43">
        <f t="shared" si="97"/>
        <v>23.975979336754222</v>
      </c>
      <c r="CI115" s="17"/>
      <c r="CJ115" s="20">
        <f>CA115-2*(CB115-CM115)</f>
        <v>-2.9466666666666672</v>
      </c>
      <c r="CK115" s="20">
        <f>CM115-(CB115-CA115)</f>
        <v>3.3066666666666666</v>
      </c>
      <c r="CL115" s="20">
        <f>2*CM115-CB115</f>
        <v>12.903333333333332</v>
      </c>
      <c r="CM115" s="48">
        <f>(CB115+CA115+BI115)/3</f>
        <v>19.156666666666666</v>
      </c>
      <c r="CN115" s="20">
        <f>2*CM115-CA115</f>
        <v>28.75333333333333</v>
      </c>
      <c r="CO115" s="20">
        <f>CM115+(CB115-CA115)</f>
        <v>35.006666666666668</v>
      </c>
      <c r="CP115" s="20">
        <f>CB115+2*(CM115-CA115)</f>
        <v>44.603333333333332</v>
      </c>
      <c r="CQ115" s="2" cm="1">
        <f t="array" aca="1" ref="CQ115" ca="1">MAX(_xlfn._xlws.FILTER(CJ115:CP115,CJ115:CP115&lt;BJ115))</f>
        <v>19.156666666666666</v>
      </c>
      <c r="CR115" s="2" cm="1">
        <f t="array" aca="1" ref="CR115" ca="1">MIN(_xlfn._xlws.FILTER($CJ115:$CP115,$CJ115:$CP115&gt;BJ115))</f>
        <v>28.75333333333333</v>
      </c>
      <c r="CS115" s="19">
        <f t="shared" ref="CS115:CS146" ca="1" si="117">(CR115/CQ115)-1</f>
        <v>0.50095702105446316</v>
      </c>
      <c r="CT115" s="23">
        <f t="shared" ref="CT115:CT146" ca="1" si="118">-$CS115/2</f>
        <v>-0.25047851052723158</v>
      </c>
      <c r="CU115" s="23">
        <f t="shared" ref="CU115:CU146" ca="1" si="119">-$CS115/3</f>
        <v>-0.16698567368482106</v>
      </c>
      <c r="CV115" s="23">
        <f t="shared" ref="CV115:CV146" ca="1" si="120">-$CS115/5</f>
        <v>-0.10019140421089263</v>
      </c>
      <c r="CW115" s="23">
        <f t="shared" ref="CW115:CW146" ca="1" si="121">-$CS115/9</f>
        <v>-5.5661891228273683E-2</v>
      </c>
      <c r="CX115" s="23">
        <f t="shared" ref="CX115:CX146" ca="1" si="122">-$CS115/17</f>
        <v>-2.9468060062027245E-2</v>
      </c>
      <c r="CY115" s="23">
        <f t="shared" ref="CY115:CY146" ca="1" si="123">-$CS115/33</f>
        <v>-1.5180515789529187E-2</v>
      </c>
      <c r="CZ115" s="23">
        <f t="shared" ref="CZ115:CZ146" ca="1" si="124">-$CS115/65</f>
        <v>-7.7070310931455872E-3</v>
      </c>
      <c r="DA115" s="24">
        <f t="shared" ref="DA115:DA146" ca="1" si="125">-$CS115/65*-1</f>
        <v>7.7070310931455872E-3</v>
      </c>
      <c r="DB115" s="24">
        <f t="shared" ref="DB115:DB146" ca="1" si="126">-$CS115/33*-1</f>
        <v>1.5180515789529187E-2</v>
      </c>
      <c r="DC115" s="24">
        <f t="shared" ref="DC115:DC146" ca="1" si="127">-$CS115/17*-1</f>
        <v>2.9468060062027245E-2</v>
      </c>
      <c r="DD115" s="24">
        <f t="shared" ref="DD115:DD146" ca="1" si="128">-$CS115/9*-1</f>
        <v>5.5661891228273683E-2</v>
      </c>
      <c r="DE115" s="24">
        <f t="shared" ref="DE115:DE146" ca="1" si="129">-$CS115/5*-1</f>
        <v>0.10019140421089263</v>
      </c>
      <c r="DF115" s="24">
        <f t="shared" ref="DF115:DF146" ca="1" si="130">-$CS115/3*-1</f>
        <v>0.16698567368482106</v>
      </c>
      <c r="DG115" s="24">
        <f t="shared" ref="DG115:DG146" ca="1" si="131">-$CS115/2*-1</f>
        <v>0.25047851052723158</v>
      </c>
      <c r="DI115" s="19" cm="1">
        <f t="array" aca="1" ref="DI115" ca="1">MAX(_xlfn._xlws.FILTER(CT115:DG115,CT115:DG115&lt;BP115))</f>
        <v>-1.5180515789529187E-2</v>
      </c>
      <c r="DJ115" s="19" cm="1">
        <f t="array" aca="1" ref="DJ115" ca="1">MIN(_xlfn._xlws.FILTER(CT115:DG115,CT115:DG115&gt;BP115))</f>
        <v>-7.7070310931455872E-3</v>
      </c>
      <c r="DK115" s="2" cm="1">
        <f t="array" aca="1" ref="DK115" ca="1">_FV(EH115,"Fechamento anterior",TRUE)</f>
        <v>22.5</v>
      </c>
      <c r="DL115" s="36">
        <f ca="1">(BJ115-DM115)/(DN115-DM115)</f>
        <v>0.96079888850295891</v>
      </c>
      <c r="DM115" s="18">
        <f t="shared" ref="DM115:DM146" ca="1" si="132">DK115+(DK115*DI115)</f>
        <v>22.158438394735594</v>
      </c>
      <c r="DN115" s="18">
        <f t="shared" ref="DN115:DN146" ca="1" si="133">DK115+(DK115*DJ115)</f>
        <v>22.326591800404223</v>
      </c>
      <c r="DO115" s="9"/>
      <c r="DP115" s="9"/>
      <c r="DQ115" s="94">
        <v>1.4973498207136157E-2</v>
      </c>
      <c r="DR115" s="94">
        <v>7.8322913698866039E-3</v>
      </c>
      <c r="DS115" s="94">
        <v>1.6098215998465372E-2</v>
      </c>
      <c r="DT115" s="94">
        <f t="shared" ca="1" si="92"/>
        <v>7.4734846963835999E-3</v>
      </c>
      <c r="DU115" s="87">
        <f ca="1">(BJ115-CF115)/(CF115-CE115)</f>
        <v>0.20423076408978882</v>
      </c>
      <c r="DV115" s="46"/>
      <c r="DW115" s="43">
        <f>_xlfn.STDEV.P(BF115:BI115)</f>
        <v>1.0404896683773464</v>
      </c>
      <c r="DX115" s="76">
        <f ca="1">BO115-$DT$2</f>
        <v>-5.1800000000000068E-2</v>
      </c>
      <c r="DY115" s="76">
        <f ca="1">BO115-BP115*100</f>
        <v>1.7453000000000001</v>
      </c>
      <c r="DZ115" s="101"/>
      <c r="EA115" s="100">
        <v>-2.1013000000000002</v>
      </c>
      <c r="EB115" s="107">
        <v>-3.1842999999999999</v>
      </c>
      <c r="EC115" s="107">
        <v>-1.6087000000000005</v>
      </c>
      <c r="ED115" s="98">
        <f t="shared" ca="1" si="93"/>
        <v>-1.7971000000000001</v>
      </c>
      <c r="EE115" s="66"/>
      <c r="EF115" s="66"/>
      <c r="EH115" s="2" t="e" vm="114">
        <v>#VALUE!</v>
      </c>
      <c r="EJ115" s="10" cm="1">
        <f t="array" aca="1" ref="EJ115" ca="1">_FV(EH115,"Ações em circulação",TRUE)</f>
        <v>857928100</v>
      </c>
      <c r="EK115" s="21">
        <f>VLOOKUP(BK115,Fundamentus!A:U,5,FALSE)</f>
        <v>0.13800000000000001</v>
      </c>
      <c r="EL115" s="2">
        <f ca="1">(BJ115*EJ115)/EK115</f>
        <v>138760544869.56522</v>
      </c>
      <c r="EM115" s="20">
        <v>3692820952.1739125</v>
      </c>
      <c r="EN115" s="20">
        <f t="shared" ca="1" si="94"/>
        <v>3663278384.5565219</v>
      </c>
      <c r="EP115" s="19">
        <f t="shared" ca="1" si="89"/>
        <v>-7.9999999999997851E-3</v>
      </c>
      <c r="EQ115" s="40" t="str">
        <f>IF(VLOOKUP(BK115,Fundamentus!A:U,3,FALSE)&lt;15,"Bom",IF(VLOOKUP(BK115,Fundamentus!A:U,3,FALSE)&gt;15,"Ruim","n/a"))</f>
        <v>Bom</v>
      </c>
      <c r="ER115" s="36" t="str">
        <f>IF(VLOOKUP(BK115,Fundamentus!A:U,4,FALSE)&lt;1,"Baixo",IF(VLOOKUP(BK115,Fundamentus!A:U,4,FALSE)&lt;1.5,"Moderado",IF(VLOOKUP(BK115,Fundamentus!A:U,4,FALSE)&gt;1.5,"Alto","n/a")))</f>
        <v>Alto</v>
      </c>
      <c r="ES115" s="20" t="str">
        <f>IF(VLOOKUP(BK115,Fundamentus!A:U,8,FALSE)&lt;0,"Risco elevado",IF(VLOOKUP(BK115,Fundamentus!A:U,8,FALSE)&lt;1,"Saudável",IF(VLOOKUP(BK115,Fundamentus!A:U,8,FALSE)&lt;3,"Estável",IF(VLOOKUP(BK115,Fundamentus!A:U,8,FALSE)&gt;3,"Alerta","n/a"))))</f>
        <v>Estável</v>
      </c>
      <c r="ET115" s="36" t="str">
        <f t="shared" si="95"/>
        <v>Ruim</v>
      </c>
      <c r="EU115" s="20" t="str">
        <f>IF(VLOOKUP(BK115,Fundamentus!A:U,12,FALSE)&lt;2,"Subvalorizada",IF(VLOOKUP(BK115,Fundamentus!A:U,12,FALSE)&lt;6,"Muita barata",IF(VLOOKUP(BK115,Fundamentus!A:U,12,FALSE)&lt;6,"Barata",IF(VLOOKUP(BK115,Fundamentus!A:U,12,FALSE)&lt;8,"Atrativa",IF(VLOOKUP(BK115,Fundamentus!A:U,12,FALSE)&gt;8,"Supervalorizada","n/a")))))</f>
        <v>Muita barata</v>
      </c>
      <c r="EW115" s="20" t="str">
        <f>IF(VLOOKUP(BK115,Fundamentus!A:U,17,FALSE)&lt;0.1,"Fraco retorno",IF(VLOOKUP(BK115,Fundamentus!A:U,17,FALSE)&gt;0.1,"Bom retorno","n/a"))</f>
        <v>Bom retorno</v>
      </c>
      <c r="EX115" s="20" t="str">
        <f>IF(VLOOKUP(BK115,Fundamentus!A:U,16,FALSE)&lt;0.1,"Ineficiente",IF(VLOOKUP(BK115,Fundamentus!A:U,16,FALSE)&gt;0.1,"Eficiente","n/a"))</f>
        <v>Ineficiente</v>
      </c>
      <c r="EY115" s="41" t="str">
        <f>IF(VLOOKUP(BK115,Fundamentus!A:U,16,FALSE)&lt;0.1,"Oper. Ineficiente",IF(VLOOKUP(BK115,Fundamentus!A:U,16,FALSE)&gt;0.1,"Oper.Eficiente","n/a"))</f>
        <v>Oper. Ineficiente</v>
      </c>
      <c r="EZ115" s="42">
        <f>VLOOKUP(BK115,Fundamentus!A:U,14,FALSE)</f>
        <v>2.64E-2</v>
      </c>
      <c r="FA115" s="20" t="str">
        <f>IF(VLOOKUP(BK115,Fundamentus!A:U,21,FALSE)&lt;0,"Negativo",IF(VLOOKUP(BK115,Fundamentus!A:U,21,FALSE)&lt;0.05,"Fraco",IF(VLOOKUP(BK115,Fundamentus!A:U,21,FALSE)&lt;0.1,"Bom",IF(VLOOKUP(BK115,Fundamentus!A:U,21,FALSE)&gt;0.1,"Muito bom","n/a"))))</f>
        <v>Muito bom</v>
      </c>
      <c r="FC115" s="37" t="str">
        <f>IF(VLOOKUP(BK115,Fundamentus!A:U,15,FALSE)&gt;1,"Bom",IF(VLOOKUP(BK115,Fundamentus!A:U,15,FALSE)&lt;1,"Ruim","n/a"))</f>
        <v>Bom</v>
      </c>
      <c r="FD115" s="20" t="str">
        <f>IF(VLOOKUP(BK115,Fundamentus!A:U,20,FALSE)&lt;0.5,"Baixa",IF(VLOOKUP(BK115,Fundamentus!A:U,20,FALSE)&lt;1,"Moderada",IF(VLOOKUP(BK115,Fundamentus!A:U,20,FALSE)&lt;2,"Alerta",IF(VLOOKUP(BK115,Fundamentus!A:U,20,FALSE)&gt;2,"Alta","n/a"))))</f>
        <v>Alta</v>
      </c>
      <c r="FE115" s="10"/>
    </row>
    <row r="116" spans="1:161" s="2" customFormat="1" ht="11.25" hidden="1"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8">
        <v>2.16</v>
      </c>
      <c r="BC116" s="62">
        <v>2.0499999999999998</v>
      </c>
      <c r="BD116" s="62">
        <v>2</v>
      </c>
      <c r="BE116" s="62">
        <v>1.94</v>
      </c>
      <c r="BF116" s="62">
        <v>1.93</v>
      </c>
      <c r="BG116" s="81">
        <v>1.94</v>
      </c>
      <c r="BH116" s="62">
        <v>1.91</v>
      </c>
      <c r="BI116" s="62">
        <v>1.85</v>
      </c>
      <c r="BJ116" s="62" cm="1">
        <f t="array" aca="1" ref="BJ116" ca="1">_FV(EH116,"Preço")</f>
        <v>1.9</v>
      </c>
      <c r="BK116" s="83" t="s">
        <v>112</v>
      </c>
      <c r="BL116" s="44" cm="1">
        <f t="array" aca="1" ref="BL116" ca="1">_FV(EH116,"Média de volume",TRUE)</f>
        <v>6100</v>
      </c>
      <c r="BM116" s="44">
        <v>500</v>
      </c>
      <c r="BN116" s="44" cm="1">
        <f t="array" aca="1" ref="BN116" ca="1">_FV(EH116,"Volume")</f>
        <v>300</v>
      </c>
      <c r="BO116" s="32" cm="1">
        <f t="array" aca="1" ref="BO116" ca="1">_FV(EH116,"Beta")</f>
        <v>1.4148000000000001</v>
      </c>
      <c r="BP116" s="86" cm="1">
        <f t="array" aca="1" ref="BP116" ca="1">_FV(EH116,"Variação (%)",TRUE)</f>
        <v>2.7027000000000002E-2</v>
      </c>
      <c r="BQ116" s="48"/>
      <c r="BR116" s="48"/>
      <c r="BT116" s="20" cm="1">
        <f t="array" aca="1" ref="BT116" ca="1">_FV(EH116,"Baixo")</f>
        <v>1.84</v>
      </c>
      <c r="BU116" s="20" cm="1">
        <f t="array" aca="1" ref="BU116" ca="1">_FV(EH116,"Alto")</f>
        <v>1.9</v>
      </c>
      <c r="BV116" s="32"/>
      <c r="BW116" s="73">
        <f ca="1">SQRT(22.5*(BJ116/VLOOKUP(BK116,Fundamentus!A:U,3,FALSE))*(BJ116/VLOOKUP(BK116,Fundamentus!A:U,4,FALSE)))</f>
        <v>36.490510780875347</v>
      </c>
      <c r="BY116" s="72">
        <f t="shared" ca="1" si="90"/>
        <v>2.7027027027026931E-2</v>
      </c>
      <c r="BZ116" s="8"/>
      <c r="CA116" s="71">
        <f t="shared" si="98"/>
        <v>0.18</v>
      </c>
      <c r="CB116" s="71">
        <f t="shared" si="91"/>
        <v>4</v>
      </c>
      <c r="CC116" s="71">
        <f t="shared" si="99"/>
        <v>1.5436065573770485</v>
      </c>
      <c r="CD116" s="17"/>
      <c r="CE116" s="43">
        <f t="shared" si="96"/>
        <v>1.7701787997811589</v>
      </c>
      <c r="CF116" s="18">
        <f>FORECAST("04/07/2025", BF116:BI116, $BF$5:$BI$5)</f>
        <v>1.8400000000000034</v>
      </c>
      <c r="CG116" s="43">
        <f t="shared" si="97"/>
        <v>1.9098212002188479</v>
      </c>
      <c r="CI116" s="17"/>
      <c r="CJ116" s="20">
        <f>CA116-2*(CB116-CM116)</f>
        <v>-3.8000000000000003</v>
      </c>
      <c r="CK116" s="20">
        <f>CM116-(CB116-CA116)</f>
        <v>-1.81</v>
      </c>
      <c r="CL116" s="20">
        <f>2*CM116-CB116</f>
        <v>1.9999999999999574E-2</v>
      </c>
      <c r="CM116" s="48">
        <f>(CB116+CA116+BI116)/3</f>
        <v>2.0099999999999998</v>
      </c>
      <c r="CN116" s="20">
        <f>2*CM116-CA116</f>
        <v>3.8399999999999994</v>
      </c>
      <c r="CO116" s="20">
        <f>CM116+(CB116-CA116)</f>
        <v>5.83</v>
      </c>
      <c r="CP116" s="20">
        <f>CB116+2*(CM116-CA116)</f>
        <v>7.66</v>
      </c>
      <c r="CQ116" s="2" cm="1">
        <f t="array" aca="1" ref="CQ116" ca="1">MAX(_xlfn._xlws.FILTER(CJ116:CP116,CJ116:CP116&lt;BJ116))</f>
        <v>1.9999999999999574E-2</v>
      </c>
      <c r="CR116" s="2" cm="1">
        <f t="array" aca="1" ref="CR116" ca="1">MIN(_xlfn._xlws.FILTER($CJ116:$CP116,$CJ116:$CP116&gt;BJ116))</f>
        <v>2.0099999999999998</v>
      </c>
      <c r="CS116" s="19">
        <f t="shared" ca="1" si="117"/>
        <v>99.500000000002132</v>
      </c>
      <c r="CT116" s="23">
        <f t="shared" ca="1" si="118"/>
        <v>-49.750000000001066</v>
      </c>
      <c r="CU116" s="23">
        <f t="shared" ca="1" si="119"/>
        <v>-33.166666666667375</v>
      </c>
      <c r="CV116" s="23">
        <f t="shared" ca="1" si="120"/>
        <v>-19.900000000000425</v>
      </c>
      <c r="CW116" s="23">
        <f t="shared" ca="1" si="121"/>
        <v>-11.055555555555792</v>
      </c>
      <c r="CX116" s="23">
        <f t="shared" ca="1" si="122"/>
        <v>-5.852941176470714</v>
      </c>
      <c r="CY116" s="23">
        <f t="shared" ca="1" si="123"/>
        <v>-3.0151515151515795</v>
      </c>
      <c r="CZ116" s="23">
        <f t="shared" ca="1" si="124"/>
        <v>-1.5307692307692635</v>
      </c>
      <c r="DA116" s="24">
        <f t="shared" ca="1" si="125"/>
        <v>1.5307692307692635</v>
      </c>
      <c r="DB116" s="24">
        <f t="shared" ca="1" si="126"/>
        <v>3.0151515151515795</v>
      </c>
      <c r="DC116" s="24">
        <f t="shared" ca="1" si="127"/>
        <v>5.852941176470714</v>
      </c>
      <c r="DD116" s="24">
        <f t="shared" ca="1" si="128"/>
        <v>11.055555555555792</v>
      </c>
      <c r="DE116" s="24">
        <f t="shared" ca="1" si="129"/>
        <v>19.900000000000425</v>
      </c>
      <c r="DF116" s="24">
        <f t="shared" ca="1" si="130"/>
        <v>33.166666666667375</v>
      </c>
      <c r="DG116" s="24">
        <f t="shared" ca="1" si="131"/>
        <v>49.750000000001066</v>
      </c>
      <c r="DI116" s="19" cm="1">
        <f t="array" aca="1" ref="DI116" ca="1">MAX(_xlfn._xlws.FILTER(CT116:DG116,CT116:DG116&lt;BP116))</f>
        <v>-1.5307692307692635</v>
      </c>
      <c r="DJ116" s="19" cm="1">
        <f t="array" aca="1" ref="DJ116" ca="1">MIN(_xlfn._xlws.FILTER(CT116:DG116,CT116:DG116&gt;BP116))</f>
        <v>1.5307692307692635</v>
      </c>
      <c r="DK116" s="2" cm="1">
        <f t="array" aca="1" ref="DK116" ca="1">_FV(EH116,"Fechamento anterior",TRUE)</f>
        <v>1.85</v>
      </c>
      <c r="DL116" s="36">
        <f ca="1">(BJ116-DM116)/(DN116-DM116)</f>
        <v>0.50882792340078753</v>
      </c>
      <c r="DM116" s="18">
        <f t="shared" ca="1" si="132"/>
        <v>-0.98192307692313774</v>
      </c>
      <c r="DN116" s="18">
        <f t="shared" ca="1" si="133"/>
        <v>4.6819230769231375</v>
      </c>
      <c r="DO116" s="9"/>
      <c r="DP116" s="9"/>
      <c r="DQ116" s="94">
        <v>1.3507566572365171E-2</v>
      </c>
      <c r="DR116" s="94">
        <v>2.7859356055503166E-2</v>
      </c>
      <c r="DS116" s="94">
        <v>0.75384615384616172</v>
      </c>
      <c r="DT116" s="94">
        <f t="shared" ca="1" si="92"/>
        <v>3.061538461538527</v>
      </c>
      <c r="DU116" s="87">
        <f ca="1">(BJ116-CF116)/(CF116-CE116)</f>
        <v>0.8593378488472716</v>
      </c>
      <c r="DV116" s="46"/>
      <c r="DW116" s="43">
        <f>_xlfn.STDEV.P(BF116:BI116)</f>
        <v>3.4910600109422291E-2</v>
      </c>
      <c r="DX116" s="76">
        <f ca="1">BO116-$DT$2</f>
        <v>0.41769999999999996</v>
      </c>
      <c r="DY116" s="76">
        <f ca="1">BO116-BP116*100</f>
        <v>-1.2879</v>
      </c>
      <c r="DZ116" s="101"/>
      <c r="EA116" s="100">
        <v>-0.73219999999999996</v>
      </c>
      <c r="EB116" s="107">
        <v>0.7211000000000003</v>
      </c>
      <c r="EC116" s="107">
        <v>0.18090000000000006</v>
      </c>
      <c r="ED116" s="98">
        <f t="shared" ca="1" si="93"/>
        <v>1.7056</v>
      </c>
      <c r="EE116" s="66"/>
      <c r="EF116" s="66"/>
      <c r="EH116" s="2" t="e" vm="115">
        <v>#VALUE!</v>
      </c>
      <c r="EJ116" s="10" cm="1">
        <f t="array" aca="1" ref="EJ116" ca="1">_FV(EH116,"Ações em circulação",TRUE)</f>
        <v>12318720</v>
      </c>
      <c r="EK116" s="21">
        <f>VLOOKUP(BK116,Fundamentus!A:U,5,FALSE)</f>
        <v>0.105</v>
      </c>
      <c r="EL116" s="2">
        <f ca="1">(BJ116*EJ116)/EK116</f>
        <v>222910171.42857143</v>
      </c>
      <c r="EM116" s="20">
        <v>-231651183.17714286</v>
      </c>
      <c r="EN116" s="20">
        <f t="shared" ca="1" si="94"/>
        <v>-237912025.96571428</v>
      </c>
      <c r="EP116" s="19">
        <f t="shared" ca="1" si="89"/>
        <v>2.7027027027026973E-2</v>
      </c>
      <c r="EQ116" s="40" t="str">
        <f>IF(VLOOKUP(BK116,Fundamentus!A:U,3,FALSE)&lt;15,"Bom",IF(VLOOKUP(BK116,Fundamentus!A:U,3,FALSE)&gt;15,"Ruim","n/a"))</f>
        <v>Bom</v>
      </c>
      <c r="ER116" s="36" t="str">
        <f>IF(VLOOKUP(BK116,Fundamentus!A:U,4,FALSE)&lt;1,"Baixo",IF(VLOOKUP(BK116,Fundamentus!A:U,4,FALSE)&lt;1.5,"Moderado",IF(VLOOKUP(BK116,Fundamentus!A:U,4,FALSE)&gt;1.5,"Alto","n/a")))</f>
        <v>Baixo</v>
      </c>
      <c r="ES116" s="20" t="str">
        <f>IF(VLOOKUP(BK116,Fundamentus!A:U,8,FALSE)&lt;0,"Risco elevado",IF(VLOOKUP(BK116,Fundamentus!A:U,8,FALSE)&lt;1,"Saudável",IF(VLOOKUP(BK116,Fundamentus!A:U,8,FALSE)&lt;3,"Estável",IF(VLOOKUP(BK116,Fundamentus!A:U,8,FALSE)&gt;3,"Alerta","n/a"))))</f>
        <v>Saudável</v>
      </c>
      <c r="ET116" s="36" t="str">
        <f t="shared" si="95"/>
        <v>Ruim</v>
      </c>
      <c r="EU116" s="20" t="str">
        <f>IF(VLOOKUP(BK116,Fundamentus!A:U,12,FALSE)&lt;2,"Subvalorizada",IF(VLOOKUP(BK116,Fundamentus!A:U,12,FALSE)&lt;6,"Muita barata",IF(VLOOKUP(BK116,Fundamentus!A:U,12,FALSE)&lt;6,"Barata",IF(VLOOKUP(BK116,Fundamentus!A:U,12,FALSE)&lt;8,"Atrativa",IF(VLOOKUP(BK116,Fundamentus!A:U,12,FALSE)&gt;8,"Supervalorizada","n/a")))))</f>
        <v>Subvalorizada</v>
      </c>
      <c r="EW116" s="20" t="str">
        <f>IF(VLOOKUP(BK116,Fundamentus!A:U,17,FALSE)&lt;0.1,"Fraco retorno",IF(VLOOKUP(BK116,Fundamentus!A:U,17,FALSE)&gt;0.1,"Bom retorno","n/a"))</f>
        <v>Bom retorno</v>
      </c>
      <c r="EX116" s="20" t="str">
        <f>IF(VLOOKUP(BK116,Fundamentus!A:U,16,FALSE)&lt;0.1,"Ineficiente",IF(VLOOKUP(BK116,Fundamentus!A:U,16,FALSE)&gt;0.1,"Eficiente","n/a"))</f>
        <v>Ineficiente</v>
      </c>
      <c r="EY116" s="41" t="str">
        <f>IF(VLOOKUP(BK116,Fundamentus!A:U,16,FALSE)&lt;0.1,"Oper. Ineficiente",IF(VLOOKUP(BK116,Fundamentus!A:U,16,FALSE)&gt;0.1,"Oper.Eficiente","n/a"))</f>
        <v>Oper. Ineficiente</v>
      </c>
      <c r="EZ116" s="42">
        <f>VLOOKUP(BK116,Fundamentus!A:U,14,FALSE)</f>
        <v>-1.0672999999999999</v>
      </c>
      <c r="FA116" s="20" t="str">
        <f>IF(VLOOKUP(BK116,Fundamentus!A:U,21,FALSE)&lt;0,"Negativo",IF(VLOOKUP(BK116,Fundamentus!A:U,21,FALSE)&lt;0.05,"Fraco",IF(VLOOKUP(BK116,Fundamentus!A:U,21,FALSE)&lt;0.1,"Bom",IF(VLOOKUP(BK116,Fundamentus!A:U,21,FALSE)&gt;0.1,"Muito bom","n/a"))))</f>
        <v>Muito bom</v>
      </c>
      <c r="FC116" s="37" t="str">
        <f>IF(VLOOKUP(BK116,Fundamentus!A:U,15,FALSE)&gt;1,"Bom",IF(VLOOKUP(BK116,Fundamentus!A:U,15,FALSE)&lt;1,"Ruim","n/a"))</f>
        <v>Bom</v>
      </c>
      <c r="FD116" s="20" t="str">
        <f>IF(VLOOKUP(BK116,Fundamentus!A:U,20,FALSE)&lt;0.5,"Baixa",IF(VLOOKUP(BK116,Fundamentus!A:U,20,FALSE)&lt;1,"Moderada",IF(VLOOKUP(BK116,Fundamentus!A:U,20,FALSE)&lt;2,"Alerta",IF(VLOOKUP(BK116,Fundamentus!A:U,20,FALSE)&gt;2,"Alta","n/a"))))</f>
        <v>Baixa</v>
      </c>
      <c r="FE116" s="10"/>
    </row>
    <row r="117" spans="1:161" s="2" customFormat="1" ht="11.25" hidden="1"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8">
        <v>5.51</v>
      </c>
      <c r="BC117" s="62">
        <v>5.53</v>
      </c>
      <c r="BD117" s="62">
        <v>5.25</v>
      </c>
      <c r="BE117" s="62">
        <v>5.0999999999999996</v>
      </c>
      <c r="BF117" s="62">
        <v>5.13</v>
      </c>
      <c r="BG117" s="81">
        <v>4.76</v>
      </c>
      <c r="BH117" s="62">
        <v>4.4400000000000004</v>
      </c>
      <c r="BI117" s="62">
        <v>4.2</v>
      </c>
      <c r="BJ117" s="62" cm="1">
        <f t="array" aca="1" ref="BJ117" ca="1">_FV(EH117,"Preço")</f>
        <v>4.13</v>
      </c>
      <c r="BK117" s="83" t="s">
        <v>113</v>
      </c>
      <c r="BL117" s="44" cm="1">
        <f t="array" aca="1" ref="BL117" ca="1">_FV(EH117,"Média de volume",TRUE)</f>
        <v>22426060</v>
      </c>
      <c r="BM117" s="44">
        <v>291300</v>
      </c>
      <c r="BN117" s="44" cm="1">
        <f t="array" aca="1" ref="BN117" ca="1">_FV(EH117,"Volume")</f>
        <v>517600</v>
      </c>
      <c r="BO117" s="32" cm="1">
        <f t="array" aca="1" ref="BO117" ca="1">_FV(EH117,"Beta")</f>
        <v>0.92610000000000003</v>
      </c>
      <c r="BP117" s="86" cm="1">
        <f t="array" aca="1" ref="BP117" ca="1">_FV(EH117,"Variação (%)",TRUE)</f>
        <v>-1.6667000000000001E-2</v>
      </c>
      <c r="BQ117" s="48"/>
      <c r="BR117" s="48"/>
      <c r="BT117" s="20" cm="1">
        <f t="array" aca="1" ref="BT117" ca="1">_FV(EH117,"Baixo")</f>
        <v>4.1100000000000003</v>
      </c>
      <c r="BU117" s="20" cm="1">
        <f t="array" aca="1" ref="BU117" ca="1">_FV(EH117,"Alto")</f>
        <v>4.22</v>
      </c>
      <c r="BV117" s="32"/>
      <c r="BW117" s="73">
        <f ca="1">SQRT(22.5*(BJ117/VLOOKUP(BK117,Fundamentus!A:U,3,FALSE))*(BJ117/VLOOKUP(BK117,Fundamentus!A:U,4,FALSE)))</f>
        <v>6.0135712242608346</v>
      </c>
      <c r="BY117" s="72">
        <f t="shared" ca="1" si="90"/>
        <v>-1.6666666666666732E-2</v>
      </c>
      <c r="BZ117" s="8"/>
      <c r="CA117" s="71">
        <f t="shared" si="98"/>
        <v>4.2</v>
      </c>
      <c r="CB117" s="71">
        <f t="shared" si="91"/>
        <v>7.96</v>
      </c>
      <c r="CC117" s="71">
        <f t="shared" si="99"/>
        <v>5.9827868852458996</v>
      </c>
      <c r="CD117" s="17"/>
      <c r="CE117" s="43">
        <f t="shared" si="96"/>
        <v>3.1565195063566258</v>
      </c>
      <c r="CF117" s="18">
        <f>FORECAST("04/07/2025", BF117:BI117, $BF$5:$BI$5)</f>
        <v>3.8549999999997908</v>
      </c>
      <c r="CG117" s="43">
        <f t="shared" si="97"/>
        <v>4.5534804936429563</v>
      </c>
      <c r="CI117" s="17"/>
      <c r="CJ117" s="20">
        <f>CA117-2*(CB117-CM117)</f>
        <v>-0.81333333333333346</v>
      </c>
      <c r="CK117" s="20">
        <f>CM117-(CB117-CA117)</f>
        <v>1.6933333333333334</v>
      </c>
      <c r="CL117" s="20">
        <f>2*CM117-CB117</f>
        <v>2.9466666666666663</v>
      </c>
      <c r="CM117" s="48">
        <f>(CB117+CA117+BI117)/3</f>
        <v>5.4533333333333331</v>
      </c>
      <c r="CN117" s="20">
        <f>2*CM117-CA117</f>
        <v>6.7066666666666661</v>
      </c>
      <c r="CO117" s="20">
        <f>CM117+(CB117-CA117)</f>
        <v>9.2133333333333329</v>
      </c>
      <c r="CP117" s="20">
        <f>CB117+2*(CM117-CA117)</f>
        <v>10.466666666666665</v>
      </c>
      <c r="CQ117" s="2" cm="1">
        <f t="array" aca="1" ref="CQ117" ca="1">MAX(_xlfn._xlws.FILTER(CJ117:CP117,CJ117:CP117&lt;BJ117))</f>
        <v>2.9466666666666663</v>
      </c>
      <c r="CR117" s="2" cm="1">
        <f t="array" aca="1" ref="CR117" ca="1">MIN(_xlfn._xlws.FILTER($CJ117:$CP117,$CJ117:$CP117&gt;BJ117))</f>
        <v>5.4533333333333331</v>
      </c>
      <c r="CS117" s="19">
        <f t="shared" ca="1" si="117"/>
        <v>0.85067873303167429</v>
      </c>
      <c r="CT117" s="23">
        <f t="shared" ca="1" si="118"/>
        <v>-0.42533936651583715</v>
      </c>
      <c r="CU117" s="23">
        <f t="shared" ca="1" si="119"/>
        <v>-0.28355957767722478</v>
      </c>
      <c r="CV117" s="23">
        <f t="shared" ca="1" si="120"/>
        <v>-0.17013574660633485</v>
      </c>
      <c r="CW117" s="23">
        <f t="shared" ca="1" si="121"/>
        <v>-9.451985922574159E-2</v>
      </c>
      <c r="CX117" s="23">
        <f t="shared" ca="1" si="122"/>
        <v>-5.0039925472451431E-2</v>
      </c>
      <c r="CY117" s="23">
        <f t="shared" ca="1" si="123"/>
        <v>-2.5778143425202252E-2</v>
      </c>
      <c r="CZ117" s="23">
        <f t="shared" ca="1" si="124"/>
        <v>-1.308736512356422E-2</v>
      </c>
      <c r="DA117" s="24">
        <f t="shared" ca="1" si="125"/>
        <v>1.308736512356422E-2</v>
      </c>
      <c r="DB117" s="24">
        <f t="shared" ca="1" si="126"/>
        <v>2.5778143425202252E-2</v>
      </c>
      <c r="DC117" s="24">
        <f t="shared" ca="1" si="127"/>
        <v>5.0039925472451431E-2</v>
      </c>
      <c r="DD117" s="24">
        <f t="shared" ca="1" si="128"/>
        <v>9.451985922574159E-2</v>
      </c>
      <c r="DE117" s="24">
        <f t="shared" ca="1" si="129"/>
        <v>0.17013574660633485</v>
      </c>
      <c r="DF117" s="24">
        <f t="shared" ca="1" si="130"/>
        <v>0.28355957767722478</v>
      </c>
      <c r="DG117" s="24">
        <f t="shared" ca="1" si="131"/>
        <v>0.42533936651583715</v>
      </c>
      <c r="DI117" s="19" cm="1">
        <f t="array" aca="1" ref="DI117" ca="1">MAX(_xlfn._xlws.FILTER(CT117:DG117,CT117:DG117&lt;BP117))</f>
        <v>-2.5778143425202252E-2</v>
      </c>
      <c r="DJ117" s="19" cm="1">
        <f t="array" aca="1" ref="DJ117" ca="1">MIN(_xlfn._xlws.FILTER(CT117:DG117,CT117:DG117&gt;BP117))</f>
        <v>-1.308736512356422E-2</v>
      </c>
      <c r="DK117" s="2" cm="1">
        <f t="array" aca="1" ref="DK117" ca="1">_FV(EH117,"Fechamento anterior",TRUE)</f>
        <v>4.2</v>
      </c>
      <c r="DL117" s="36">
        <f ca="1">(BJ117-DM117)/(DN117-DM117)</f>
        <v>0.71796043882978411</v>
      </c>
      <c r="DM117" s="18">
        <f t="shared" ca="1" si="132"/>
        <v>4.091731797614151</v>
      </c>
      <c r="DN117" s="18">
        <f t="shared" ca="1" si="133"/>
        <v>4.1450330664810302</v>
      </c>
      <c r="DO117" s="9"/>
      <c r="DP117" s="9"/>
      <c r="DQ117" s="94">
        <v>1.5584972190565254E-2</v>
      </c>
      <c r="DR117" s="94">
        <v>8.152139299680285E-3</v>
      </c>
      <c r="DS117" s="94">
        <v>3.0202213255940198E-2</v>
      </c>
      <c r="DT117" s="94">
        <f t="shared" ca="1" si="92"/>
        <v>1.2690778301638032E-2</v>
      </c>
      <c r="DU117" s="87">
        <f ca="1">(BJ117-CF117)/(CF117-CE117)</f>
        <v>0.39371178222293951</v>
      </c>
      <c r="DV117" s="46"/>
      <c r="DW117" s="43">
        <f>_xlfn.STDEV.P(BF117:BI117)</f>
        <v>0.34924024682158256</v>
      </c>
      <c r="DX117" s="76">
        <f ca="1">BO117-$DT$2</f>
        <v>-7.1000000000000063E-2</v>
      </c>
      <c r="DY117" s="76">
        <f ca="1">BO117-BP117*100</f>
        <v>2.5928</v>
      </c>
      <c r="DZ117" s="101"/>
      <c r="EA117" s="100">
        <v>-5.8113000000000001</v>
      </c>
      <c r="EB117" s="107">
        <v>-2.4456999999999995</v>
      </c>
      <c r="EC117" s="107">
        <v>2.6199000000000003</v>
      </c>
      <c r="ED117" s="98">
        <f t="shared" ca="1" si="93"/>
        <v>-2.6638000000000002</v>
      </c>
      <c r="EE117" s="66"/>
      <c r="EF117" s="66"/>
      <c r="EH117" s="2" t="e" vm="116">
        <v>#VALUE!</v>
      </c>
      <c r="EJ117" s="10" cm="1">
        <f t="array" aca="1" ref="EJ117" ca="1">_FV(EH117,"Ações em circulação",TRUE)</f>
        <v>1253079000</v>
      </c>
      <c r="EK117" s="21">
        <f>VLOOKUP(BK117,Fundamentus!A:U,5,FALSE)</f>
        <v>0.22500000000000001</v>
      </c>
      <c r="EL117" s="2">
        <f ca="1">(BJ117*EJ117)/EK117</f>
        <v>23000961200</v>
      </c>
      <c r="EM117" s="20">
        <v>268994292</v>
      </c>
      <c r="EN117" s="20">
        <f t="shared" ca="1" si="94"/>
        <v>264511053.79999998</v>
      </c>
      <c r="EP117" s="19">
        <f t="shared" ca="1" si="89"/>
        <v>-1.6666666666666718E-2</v>
      </c>
      <c r="EQ117" s="40" t="str">
        <f>IF(VLOOKUP(BK117,Fundamentus!A:U,3,FALSE)&lt;15,"Bom",IF(VLOOKUP(BK117,Fundamentus!A:U,3,FALSE)&gt;15,"Ruim","n/a"))</f>
        <v>Ruim</v>
      </c>
      <c r="ER117" s="36" t="str">
        <f>IF(VLOOKUP(BK117,Fundamentus!A:U,4,FALSE)&lt;1,"Baixo",IF(VLOOKUP(BK117,Fundamentus!A:U,4,FALSE)&lt;1.5,"Moderado",IF(VLOOKUP(BK117,Fundamentus!A:U,4,FALSE)&gt;1.5,"Alto","n/a")))</f>
        <v>Baixo</v>
      </c>
      <c r="ES117" s="20" t="str">
        <f>IF(VLOOKUP(BK117,Fundamentus!A:U,8,FALSE)&lt;0,"Risco elevado",IF(VLOOKUP(BK117,Fundamentus!A:U,8,FALSE)&lt;1,"Saudável",IF(VLOOKUP(BK117,Fundamentus!A:U,8,FALSE)&lt;3,"Estável",IF(VLOOKUP(BK117,Fundamentus!A:U,8,FALSE)&gt;3,"Alerta","n/a"))))</f>
        <v>Saudável</v>
      </c>
      <c r="ET117" s="36" t="str">
        <f t="shared" si="95"/>
        <v>Ruim</v>
      </c>
      <c r="EU117" s="20" t="str">
        <f>IF(VLOOKUP(BK117,Fundamentus!A:U,12,FALSE)&lt;2,"Subvalorizada",IF(VLOOKUP(BK117,Fundamentus!A:U,12,FALSE)&lt;6,"Muita barata",IF(VLOOKUP(BK117,Fundamentus!A:U,12,FALSE)&lt;6,"Barata",IF(VLOOKUP(BK117,Fundamentus!A:U,12,FALSE)&lt;8,"Atrativa",IF(VLOOKUP(BK117,Fundamentus!A:U,12,FALSE)&gt;8,"Supervalorizada","n/a")))))</f>
        <v>Muita barata</v>
      </c>
      <c r="EW117" s="20" t="str">
        <f>IF(VLOOKUP(BK117,Fundamentus!A:U,17,FALSE)&lt;0.1,"Fraco retorno",IF(VLOOKUP(BK117,Fundamentus!A:U,17,FALSE)&gt;0.1,"Bom retorno","n/a"))</f>
        <v>Fraco retorno</v>
      </c>
      <c r="EX117" s="20" t="str">
        <f>IF(VLOOKUP(BK117,Fundamentus!A:U,16,FALSE)&lt;0.1,"Ineficiente",IF(VLOOKUP(BK117,Fundamentus!A:U,16,FALSE)&gt;0.1,"Eficiente","n/a"))</f>
        <v>Ineficiente</v>
      </c>
      <c r="EY117" s="41" t="str">
        <f>IF(VLOOKUP(BK117,Fundamentus!A:U,16,FALSE)&lt;0.1,"Oper. Ineficiente",IF(VLOOKUP(BK117,Fundamentus!A:U,16,FALSE)&gt;0.1,"Oper.Eficiente","n/a"))</f>
        <v>Oper. Ineficiente</v>
      </c>
      <c r="EZ117" s="42">
        <f>VLOOKUP(BK117,Fundamentus!A:U,14,FALSE)</f>
        <v>1.15E-2</v>
      </c>
      <c r="FA117" s="20" t="str">
        <f>IF(VLOOKUP(BK117,Fundamentus!A:U,21,FALSE)&lt;0,"Negativo",IF(VLOOKUP(BK117,Fundamentus!A:U,21,FALSE)&lt;0.05,"Fraco",IF(VLOOKUP(BK117,Fundamentus!A:U,21,FALSE)&lt;0.1,"Bom",IF(VLOOKUP(BK117,Fundamentus!A:U,21,FALSE)&gt;0.1,"Muito bom","n/a"))))</f>
        <v>Fraco</v>
      </c>
      <c r="FC117" s="37" t="str">
        <f>IF(VLOOKUP(BK117,Fundamentus!A:U,15,FALSE)&gt;1,"Bom",IF(VLOOKUP(BK117,Fundamentus!A:U,15,FALSE)&lt;1,"Ruim","n/a"))</f>
        <v>Bom</v>
      </c>
      <c r="FD117" s="20" t="str">
        <f>IF(VLOOKUP(BK117,Fundamentus!A:U,20,FALSE)&lt;0.5,"Baixa",IF(VLOOKUP(BK117,Fundamentus!A:U,20,FALSE)&lt;1,"Moderada",IF(VLOOKUP(BK117,Fundamentus!A:U,20,FALSE)&lt;2,"Alerta",IF(VLOOKUP(BK117,Fundamentus!A:U,20,FALSE)&gt;2,"Alta","n/a"))))</f>
        <v>Baixa</v>
      </c>
      <c r="FE117" s="10"/>
    </row>
    <row r="118" spans="1:161" s="2" customFormat="1" ht="11.25" hidden="1"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8">
        <v>29.65</v>
      </c>
      <c r="BC118" s="62">
        <v>29.73</v>
      </c>
      <c r="BD118" s="62">
        <v>29.81</v>
      </c>
      <c r="BE118" s="62">
        <v>28.66</v>
      </c>
      <c r="BF118" s="62">
        <v>29.61</v>
      </c>
      <c r="BG118" s="81">
        <v>29.09</v>
      </c>
      <c r="BH118" s="62">
        <v>29.15</v>
      </c>
      <c r="BI118" s="62">
        <v>29.2</v>
      </c>
      <c r="BJ118" s="62" cm="1">
        <f t="array" aca="1" ref="BJ118" ca="1">_FV(EH118,"Preço")</f>
        <v>29.57</v>
      </c>
      <c r="BK118" s="83" t="s">
        <v>114</v>
      </c>
      <c r="BL118" s="44" cm="1">
        <f t="array" aca="1" ref="BL118" ca="1">_FV(EH118,"Média de volume",TRUE)</f>
        <v>1982120</v>
      </c>
      <c r="BM118" s="44">
        <v>1239300</v>
      </c>
      <c r="BN118" s="44" cm="1">
        <f t="array" aca="1" ref="BN118" ca="1">_FV(EH118,"Volume")</f>
        <v>1014000</v>
      </c>
      <c r="BO118" s="32" cm="1">
        <f t="array" aca="1" ref="BO118" ca="1">_FV(EH118,"Beta")</f>
        <v>1.0418000000000001</v>
      </c>
      <c r="BP118" s="86" cm="1">
        <f t="array" aca="1" ref="BP118" ca="1">_FV(EH118,"Variação (%)",TRUE)</f>
        <v>1.2670999999999998E-2</v>
      </c>
      <c r="BQ118" s="48"/>
      <c r="BR118" s="48"/>
      <c r="BT118" s="20" cm="1">
        <f t="array" aca="1" ref="BT118" ca="1">_FV(EH118,"Baixo")</f>
        <v>28.88</v>
      </c>
      <c r="BU118" s="20" cm="1">
        <f t="array" aca="1" ref="BU118" ca="1">_FV(EH118,"Alto")</f>
        <v>29.69</v>
      </c>
      <c r="BV118" s="32"/>
      <c r="BW118" s="73">
        <f ca="1">SQRT(22.5*(BJ118/VLOOKUP(BK118,Fundamentus!A:U,3,FALSE))*(BJ118/VLOOKUP(BK118,Fundamentus!A:U,4,FALSE)))</f>
        <v>14.945072075931449</v>
      </c>
      <c r="BY118" s="72">
        <f t="shared" ca="1" si="90"/>
        <v>1.2671232876712363E-2</v>
      </c>
      <c r="BZ118" s="8"/>
      <c r="CA118" s="71">
        <f t="shared" si="98"/>
        <v>17.3</v>
      </c>
      <c r="CB118" s="71">
        <f t="shared" si="91"/>
        <v>29.81</v>
      </c>
      <c r="CC118" s="71">
        <f t="shared" si="99"/>
        <v>23.030573770491799</v>
      </c>
      <c r="CD118" s="17"/>
      <c r="CE118" s="43">
        <f t="shared" si="96"/>
        <v>28.561251911319481</v>
      </c>
      <c r="CF118" s="18">
        <f>FORECAST("04/07/2025", BF118:BI118, $BF$5:$BI$5)</f>
        <v>28.970000000000027</v>
      </c>
      <c r="CG118" s="43">
        <f t="shared" si="97"/>
        <v>29.378748088680574</v>
      </c>
      <c r="CI118" s="17"/>
      <c r="CJ118" s="20">
        <f>CA118-2*(CB118-CM118)</f>
        <v>8.5533333333333381</v>
      </c>
      <c r="CK118" s="20">
        <f>CM118-(CB118-CA118)</f>
        <v>12.926666666666669</v>
      </c>
      <c r="CL118" s="20">
        <f>2*CM118-CB118</f>
        <v>21.063333333333336</v>
      </c>
      <c r="CM118" s="48">
        <f>(CB118+CA118+BI118)/3</f>
        <v>25.436666666666667</v>
      </c>
      <c r="CN118" s="20">
        <f>2*CM118-CA118</f>
        <v>33.573333333333338</v>
      </c>
      <c r="CO118" s="20">
        <f>CM118+(CB118-CA118)</f>
        <v>37.946666666666665</v>
      </c>
      <c r="CP118" s="20">
        <f>CB118+2*(CM118-CA118)</f>
        <v>46.083333333333329</v>
      </c>
      <c r="CQ118" s="2" cm="1">
        <f t="array" aca="1" ref="CQ118" ca="1">MAX(_xlfn._xlws.FILTER(CJ118:CP118,CJ118:CP118&lt;BJ118))</f>
        <v>25.436666666666667</v>
      </c>
      <c r="CR118" s="2" cm="1">
        <f t="array" aca="1" ref="CR118" ca="1">MIN(_xlfn._xlws.FILTER($CJ118:$CP118,$CJ118:$CP118&gt;BJ118))</f>
        <v>33.573333333333338</v>
      </c>
      <c r="CS118" s="19">
        <f t="shared" ca="1" si="117"/>
        <v>0.31987943912986516</v>
      </c>
      <c r="CT118" s="23">
        <f t="shared" ca="1" si="118"/>
        <v>-0.15993971956493258</v>
      </c>
      <c r="CU118" s="23">
        <f t="shared" ca="1" si="119"/>
        <v>-0.10662647970995505</v>
      </c>
      <c r="CV118" s="23">
        <f t="shared" ca="1" si="120"/>
        <v>-6.3975887825973035E-2</v>
      </c>
      <c r="CW118" s="23">
        <f t="shared" ca="1" si="121"/>
        <v>-3.5542159903318354E-2</v>
      </c>
      <c r="CX118" s="23">
        <f t="shared" ca="1" si="122"/>
        <v>-1.8816437595874421E-2</v>
      </c>
      <c r="CY118" s="23">
        <f t="shared" ca="1" si="123"/>
        <v>-9.6933163372686405E-3</v>
      </c>
      <c r="CZ118" s="23">
        <f t="shared" ca="1" si="124"/>
        <v>-4.9212221404594638E-3</v>
      </c>
      <c r="DA118" s="24">
        <f t="shared" ca="1" si="125"/>
        <v>4.9212221404594638E-3</v>
      </c>
      <c r="DB118" s="24">
        <f t="shared" ca="1" si="126"/>
        <v>9.6933163372686405E-3</v>
      </c>
      <c r="DC118" s="24">
        <f t="shared" ca="1" si="127"/>
        <v>1.8816437595874421E-2</v>
      </c>
      <c r="DD118" s="24">
        <f t="shared" ca="1" si="128"/>
        <v>3.5542159903318354E-2</v>
      </c>
      <c r="DE118" s="24">
        <f t="shared" ca="1" si="129"/>
        <v>6.3975887825973035E-2</v>
      </c>
      <c r="DF118" s="24">
        <f t="shared" ca="1" si="130"/>
        <v>0.10662647970995505</v>
      </c>
      <c r="DG118" s="24">
        <f t="shared" ca="1" si="131"/>
        <v>0.15993971956493258</v>
      </c>
      <c r="DI118" s="19" cm="1">
        <f t="array" aca="1" ref="DI118" ca="1">MAX(_xlfn._xlws.FILTER(CT118:DG118,CT118:DG118&lt;BP118))</f>
        <v>9.6933163372686405E-3</v>
      </c>
      <c r="DJ118" s="19" cm="1">
        <f t="array" aca="1" ref="DJ118" ca="1">MIN(_xlfn._xlws.FILTER(CT118:DG118,CT118:DG118&gt;BP118))</f>
        <v>1.8816437595874421E-2</v>
      </c>
      <c r="DK118" s="2" cm="1">
        <f t="array" aca="1" ref="DK118" ca="1">_FV(EH118,"Fechamento anterior",TRUE)</f>
        <v>29.2</v>
      </c>
      <c r="DL118" s="36">
        <f ca="1">(BJ118-DM118)/(DN118-DM118)</f>
        <v>0.32641422327196074</v>
      </c>
      <c r="DM118" s="18">
        <f t="shared" ca="1" si="132"/>
        <v>29.483044837048244</v>
      </c>
      <c r="DN118" s="18">
        <f t="shared" ca="1" si="133"/>
        <v>29.749439977799533</v>
      </c>
      <c r="DO118" s="9"/>
      <c r="DP118" s="9"/>
      <c r="DQ118" s="94">
        <v>1.358826189481457E-2</v>
      </c>
      <c r="DR118" s="94">
        <v>3.8769306664925493E-3</v>
      </c>
      <c r="DS118" s="94">
        <v>1.6674386289949043E-2</v>
      </c>
      <c r="DT118" s="94">
        <f t="shared" ca="1" si="92"/>
        <v>9.1231212586057805E-3</v>
      </c>
      <c r="DU118" s="87">
        <f ca="1">(BJ118-CF118)/(CF118-CE118)</f>
        <v>1.4678967721581144</v>
      </c>
      <c r="DV118" s="46"/>
      <c r="DW118" s="43">
        <f>_xlfn.STDEV.P(BF118:BI118)</f>
        <v>0.20437404434027331</v>
      </c>
      <c r="DX118" s="76">
        <f ca="1">BO118-$DT$2</f>
        <v>4.4699999999999962E-2</v>
      </c>
      <c r="DY118" s="76">
        <f ca="1">BO118-BP118*100</f>
        <v>-0.22529999999999983</v>
      </c>
      <c r="DZ118" s="101"/>
      <c r="EA118" s="100">
        <v>1.4173</v>
      </c>
      <c r="EB118" s="107">
        <v>-1.0377000000000001</v>
      </c>
      <c r="EC118" s="107">
        <v>-0.70169999999999999</v>
      </c>
      <c r="ED118" s="98">
        <f t="shared" ca="1" si="93"/>
        <v>0.2699999999999998</v>
      </c>
      <c r="EE118" s="66"/>
      <c r="EF118" s="66"/>
      <c r="EH118" s="2" t="e" vm="117">
        <v>#VALUE!</v>
      </c>
      <c r="EJ118" s="10" cm="1">
        <f t="array" aca="1" ref="EJ118" ca="1">_FV(EH118,"Ações em circulação",TRUE)</f>
        <v>291875100</v>
      </c>
      <c r="EK118" s="21">
        <f>VLOOKUP(BK118,Fundamentus!A:U,5,FALSE)</f>
        <v>1.972</v>
      </c>
      <c r="EL118" s="2">
        <f ca="1">(BJ118*EJ118)/EK118</f>
        <v>4376646403.1440163</v>
      </c>
      <c r="EM118" s="20">
        <v>781396413.76064909</v>
      </c>
      <c r="EN118" s="20">
        <f t="shared" ca="1" si="94"/>
        <v>791297669.68843806</v>
      </c>
      <c r="EP118" s="19">
        <f t="shared" ca="1" si="89"/>
        <v>1.2671232876712235E-2</v>
      </c>
      <c r="EQ118" s="40" t="str">
        <f>IF(VLOOKUP(BK118,Fundamentus!A:U,3,FALSE)&lt;15,"Bom",IF(VLOOKUP(BK118,Fundamentus!A:U,3,FALSE)&gt;15,"Ruim","n/a"))</f>
        <v>Bom</v>
      </c>
      <c r="ER118" s="36" t="str">
        <f>IF(VLOOKUP(BK118,Fundamentus!A:U,4,FALSE)&lt;1,"Baixo",IF(VLOOKUP(BK118,Fundamentus!A:U,4,FALSE)&lt;1.5,"Moderado",IF(VLOOKUP(BK118,Fundamentus!A:U,4,FALSE)&gt;1.5,"Alto","n/a")))</f>
        <v>Alto</v>
      </c>
      <c r="ES118" s="20" t="str">
        <f>IF(VLOOKUP(BK118,Fundamentus!A:U,8,FALSE)&lt;0,"Risco elevado",IF(VLOOKUP(BK118,Fundamentus!A:U,8,FALSE)&lt;1,"Saudável",IF(VLOOKUP(BK118,Fundamentus!A:U,8,FALSE)&lt;3,"Estável",IF(VLOOKUP(BK118,Fundamentus!A:U,8,FALSE)&gt;3,"Alerta","n/a"))))</f>
        <v>Alerta</v>
      </c>
      <c r="ET118" s="36" t="str">
        <f t="shared" si="95"/>
        <v>Bom</v>
      </c>
      <c r="EU118" s="20" t="str">
        <f>IF(VLOOKUP(BK118,Fundamentus!A:U,12,FALSE)&lt;2,"Subvalorizada",IF(VLOOKUP(BK118,Fundamentus!A:U,12,FALSE)&lt;6,"Muita barata",IF(VLOOKUP(BK118,Fundamentus!A:U,12,FALSE)&lt;6,"Barata",IF(VLOOKUP(BK118,Fundamentus!A:U,12,FALSE)&lt;8,"Atrativa",IF(VLOOKUP(BK118,Fundamentus!A:U,12,FALSE)&gt;8,"Supervalorizada","n/a")))))</f>
        <v>Atrativa</v>
      </c>
      <c r="EW118" s="20" t="str">
        <f>IF(VLOOKUP(BK118,Fundamentus!A:U,17,FALSE)&lt;0.1,"Fraco retorno",IF(VLOOKUP(BK118,Fundamentus!A:U,17,FALSE)&gt;0.1,"Bom retorno","n/a"))</f>
        <v>Bom retorno</v>
      </c>
      <c r="EX118" s="20" t="str">
        <f>IF(VLOOKUP(BK118,Fundamentus!A:U,16,FALSE)&lt;0.1,"Ineficiente",IF(VLOOKUP(BK118,Fundamentus!A:U,16,FALSE)&gt;0.1,"Eficiente","n/a"))</f>
        <v>Eficiente</v>
      </c>
      <c r="EY118" s="41" t="str">
        <f>IF(VLOOKUP(BK118,Fundamentus!A:U,16,FALSE)&lt;0.1,"Oper. Ineficiente",IF(VLOOKUP(BK118,Fundamentus!A:U,16,FALSE)&gt;0.1,"Oper.Eficiente","n/a"))</f>
        <v>Oper.Eficiente</v>
      </c>
      <c r="EZ118" s="42">
        <f>VLOOKUP(BK118,Fundamentus!A:U,14,FALSE)</f>
        <v>0.18079999999999999</v>
      </c>
      <c r="FA118" s="20" t="str">
        <f>IF(VLOOKUP(BK118,Fundamentus!A:U,21,FALSE)&lt;0,"Negativo",IF(VLOOKUP(BK118,Fundamentus!A:U,21,FALSE)&lt;0.05,"Fraco",IF(VLOOKUP(BK118,Fundamentus!A:U,21,FALSE)&lt;0.1,"Bom",IF(VLOOKUP(BK118,Fundamentus!A:U,21,FALSE)&gt;0.1,"Muito bom","n/a"))))</f>
        <v>Muito bom</v>
      </c>
      <c r="FC118" s="37" t="str">
        <f>IF(VLOOKUP(BK118,Fundamentus!A:U,15,FALSE)&gt;1,"Bom",IF(VLOOKUP(BK118,Fundamentus!A:U,15,FALSE)&lt;1,"Ruim","n/a"))</f>
        <v>Bom</v>
      </c>
      <c r="FD118" s="20" t="str">
        <f>IF(VLOOKUP(BK118,Fundamentus!A:U,20,FALSE)&lt;0.5,"Baixa",IF(VLOOKUP(BK118,Fundamentus!A:U,20,FALSE)&lt;1,"Moderada",IF(VLOOKUP(BK118,Fundamentus!A:U,20,FALSE)&lt;2,"Alerta",IF(VLOOKUP(BK118,Fundamentus!A:U,20,FALSE)&gt;2,"Alta","n/a"))))</f>
        <v>Alerta</v>
      </c>
      <c r="FE118" s="10"/>
    </row>
    <row r="119" spans="1:161" s="2" customFormat="1" ht="11.25" hidden="1"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8">
        <v>16.2</v>
      </c>
      <c r="BC119" s="62">
        <v>17.36</v>
      </c>
      <c r="BD119" s="62">
        <v>16.63</v>
      </c>
      <c r="BE119" s="62">
        <v>16.29</v>
      </c>
      <c r="BF119" s="62">
        <v>16.190000000000001</v>
      </c>
      <c r="BG119" s="81">
        <v>16.989999999999998</v>
      </c>
      <c r="BH119" s="62">
        <v>17.09</v>
      </c>
      <c r="BI119" s="62">
        <v>16.86</v>
      </c>
      <c r="BJ119" s="62" cm="1">
        <f t="array" aca="1" ref="BJ119" ca="1">_FV(EH119,"Preço")</f>
        <v>17.559999999999999</v>
      </c>
      <c r="BK119" s="83" t="s">
        <v>115</v>
      </c>
      <c r="BL119" s="44" cm="1">
        <f t="array" aca="1" ref="BL119" ca="1">_FV(EH119,"Média de volume",TRUE)</f>
        <v>4971900</v>
      </c>
      <c r="BM119" s="44">
        <v>2885900</v>
      </c>
      <c r="BN119" s="44" cm="1">
        <f t="array" aca="1" ref="BN119" ca="1">_FV(EH119,"Volume")</f>
        <v>2261900</v>
      </c>
      <c r="BO119" s="32" cm="1">
        <f t="array" aca="1" ref="BO119" ca="1">_FV(EH119,"Beta")</f>
        <v>1.1186</v>
      </c>
      <c r="BP119" s="86" cm="1">
        <f t="array" aca="1" ref="BP119" ca="1">_FV(EH119,"Variação (%)",TRUE)</f>
        <v>4.1517999999999999E-2</v>
      </c>
      <c r="BQ119" s="48"/>
      <c r="BR119" s="48"/>
      <c r="BT119" s="20" cm="1">
        <f t="array" aca="1" ref="BT119" ca="1">_FV(EH119,"Baixo")</f>
        <v>16.88</v>
      </c>
      <c r="BU119" s="20" cm="1">
        <f t="array" aca="1" ref="BU119" ca="1">_FV(EH119,"Alto")</f>
        <v>17.649999999999999</v>
      </c>
      <c r="BV119" s="32"/>
      <c r="BW119" s="73">
        <f ca="1">SQRT(22.5*(BJ119/VLOOKUP(BK119,Fundamentus!A:U,3,FALSE))*(BJ119/VLOOKUP(BK119,Fundamentus!A:U,4,FALSE)))</f>
        <v>25.751233397749637</v>
      </c>
      <c r="BY119" s="72">
        <f t="shared" ca="1" si="90"/>
        <v>4.1518386714116208E-2</v>
      </c>
      <c r="BZ119" s="8"/>
      <c r="CA119" s="71">
        <f t="shared" si="98"/>
        <v>15.55</v>
      </c>
      <c r="CB119" s="71">
        <f t="shared" si="91"/>
        <v>26.63</v>
      </c>
      <c r="CC119" s="71">
        <f t="shared" si="99"/>
        <v>19.469590163934427</v>
      </c>
      <c r="CD119" s="17"/>
      <c r="CE119" s="43">
        <f t="shared" si="96"/>
        <v>16.606668641392925</v>
      </c>
      <c r="CF119" s="18">
        <f>FORECAST("04/07/2025", BF119:BI119, $BF$5:$BI$5)</f>
        <v>17.309999999999945</v>
      </c>
      <c r="CG119" s="43">
        <f t="shared" si="97"/>
        <v>18.013331358606965</v>
      </c>
      <c r="CI119" s="17"/>
      <c r="CJ119" s="20">
        <f>CA119-2*(CB119-CM119)</f>
        <v>1.6500000000000021</v>
      </c>
      <c r="CK119" s="20">
        <f>CM119-(CB119-CA119)</f>
        <v>8.6000000000000014</v>
      </c>
      <c r="CL119" s="20">
        <f>2*CM119-CB119</f>
        <v>12.73</v>
      </c>
      <c r="CM119" s="48">
        <f>(CB119+CA119+BI119)/3</f>
        <v>19.68</v>
      </c>
      <c r="CN119" s="20">
        <f>2*CM119-CA119</f>
        <v>23.81</v>
      </c>
      <c r="CO119" s="20">
        <f>CM119+(CB119-CA119)</f>
        <v>30.759999999999998</v>
      </c>
      <c r="CP119" s="20">
        <f>CB119+2*(CM119-CA119)</f>
        <v>34.89</v>
      </c>
      <c r="CQ119" s="2" cm="1">
        <f t="array" aca="1" ref="CQ119" ca="1">MAX(_xlfn._xlws.FILTER(CJ119:CP119,CJ119:CP119&lt;BJ119))</f>
        <v>12.73</v>
      </c>
      <c r="CR119" s="2" cm="1">
        <f t="array" aca="1" ref="CR119" ca="1">MIN(_xlfn._xlws.FILTER($CJ119:$CP119,$CJ119:$CP119&gt;BJ119))</f>
        <v>19.68</v>
      </c>
      <c r="CS119" s="19">
        <f t="shared" ca="1" si="117"/>
        <v>0.54595443833464241</v>
      </c>
      <c r="CT119" s="23">
        <f t="shared" ca="1" si="118"/>
        <v>-0.27297721916732121</v>
      </c>
      <c r="CU119" s="23">
        <f t="shared" ca="1" si="119"/>
        <v>-0.18198481277821413</v>
      </c>
      <c r="CV119" s="23">
        <f t="shared" ca="1" si="120"/>
        <v>-0.10919088766692849</v>
      </c>
      <c r="CW119" s="23">
        <f t="shared" ca="1" si="121"/>
        <v>-6.0661604259404714E-2</v>
      </c>
      <c r="CX119" s="23">
        <f t="shared" ca="1" si="122"/>
        <v>-3.2114966960861316E-2</v>
      </c>
      <c r="CY119" s="23">
        <f t="shared" ca="1" si="123"/>
        <v>-1.6544073888928559E-2</v>
      </c>
      <c r="CZ119" s="23">
        <f t="shared" ca="1" si="124"/>
        <v>-8.3992990513021906E-3</v>
      </c>
      <c r="DA119" s="24">
        <f t="shared" ca="1" si="125"/>
        <v>8.3992990513021906E-3</v>
      </c>
      <c r="DB119" s="24">
        <f t="shared" ca="1" si="126"/>
        <v>1.6544073888928559E-2</v>
      </c>
      <c r="DC119" s="24">
        <f t="shared" ca="1" si="127"/>
        <v>3.2114966960861316E-2</v>
      </c>
      <c r="DD119" s="24">
        <f t="shared" ca="1" si="128"/>
        <v>6.0661604259404714E-2</v>
      </c>
      <c r="DE119" s="24">
        <f t="shared" ca="1" si="129"/>
        <v>0.10919088766692849</v>
      </c>
      <c r="DF119" s="24">
        <f t="shared" ca="1" si="130"/>
        <v>0.18198481277821413</v>
      </c>
      <c r="DG119" s="24">
        <f t="shared" ca="1" si="131"/>
        <v>0.27297721916732121</v>
      </c>
      <c r="DI119" s="19" cm="1">
        <f t="array" aca="1" ref="DI119" ca="1">MAX(_xlfn._xlws.FILTER(CT119:DG119,CT119:DG119&lt;BP119))</f>
        <v>3.2114966960861316E-2</v>
      </c>
      <c r="DJ119" s="19" cm="1">
        <f t="array" aca="1" ref="DJ119" ca="1">MIN(_xlfn._xlws.FILTER(CT119:DG119,CT119:DG119&gt;BP119))</f>
        <v>6.0661604259404714E-2</v>
      </c>
      <c r="DK119" s="2" cm="1">
        <f t="array" aca="1" ref="DK119" ca="1">_FV(EH119,"Fechamento anterior",TRUE)</f>
        <v>16.86</v>
      </c>
      <c r="DL119" s="36">
        <f ca="1">(BJ119-DM119)/(DN119-DM119)</f>
        <v>0.32940551473411744</v>
      </c>
      <c r="DM119" s="18">
        <f t="shared" ca="1" si="132"/>
        <v>17.401458342960122</v>
      </c>
      <c r="DN119" s="18">
        <f t="shared" ca="1" si="133"/>
        <v>17.882754647813563</v>
      </c>
      <c r="DO119" s="9"/>
      <c r="DP119" s="9"/>
      <c r="DQ119" s="94">
        <v>1.776818274527845E-2</v>
      </c>
      <c r="DR119" s="94">
        <v>1.9169135615579248E-2</v>
      </c>
      <c r="DS119" s="94">
        <v>1.6580974292287682E-2</v>
      </c>
      <c r="DT119" s="94">
        <f t="shared" ca="1" si="92"/>
        <v>2.8546637298543398E-2</v>
      </c>
      <c r="DU119" s="87">
        <f ca="1">(BJ119-CF119)/(CF119-CE119)</f>
        <v>0.35545123495586739</v>
      </c>
      <c r="DV119" s="46"/>
      <c r="DW119" s="43">
        <f>_xlfn.STDEV.P(BF119:BI119)</f>
        <v>0.35166567930351039</v>
      </c>
      <c r="DX119" s="76">
        <f ca="1">BO119-$DT$2</f>
        <v>0.12149999999999994</v>
      </c>
      <c r="DY119" s="76">
        <f ca="1">BO119-BP119*100</f>
        <v>-3.0331999999999999</v>
      </c>
      <c r="DZ119" s="101"/>
      <c r="EA119" s="100">
        <v>1.0585</v>
      </c>
      <c r="EB119" s="107">
        <v>0.37179999999999991</v>
      </c>
      <c r="EC119" s="107">
        <v>0.53800000000000003</v>
      </c>
      <c r="ED119" s="98">
        <f t="shared" ca="1" si="93"/>
        <v>3.1547000000000001</v>
      </c>
      <c r="EE119" s="66"/>
      <c r="EF119" s="66"/>
      <c r="EH119" s="2" t="e" vm="118">
        <v>#VALUE!</v>
      </c>
      <c r="EJ119" s="10" cm="1">
        <f t="array" aca="1" ref="EJ119" ca="1">_FV(EH119,"Ações em circulação",TRUE)</f>
        <v>1115404000</v>
      </c>
      <c r="EK119" s="21">
        <f>VLOOKUP(BK119,Fundamentus!A:U,5,FALSE)</f>
        <v>0.13900000000000001</v>
      </c>
      <c r="EL119" s="2">
        <f ca="1">(BJ119*EJ119)/EK119</f>
        <v>140910030503.59711</v>
      </c>
      <c r="EM119" s="20">
        <v>2408213407.4244599</v>
      </c>
      <c r="EN119" s="20">
        <f t="shared" ca="1" si="94"/>
        <v>2508198542.9640284</v>
      </c>
      <c r="EP119" s="19">
        <f t="shared" ca="1" si="89"/>
        <v>4.1518386714116229E-2</v>
      </c>
      <c r="EQ119" s="40" t="str">
        <f>IF(VLOOKUP(BK119,Fundamentus!A:U,3,FALSE)&lt;15,"Bom",IF(VLOOKUP(BK119,Fundamentus!A:U,3,FALSE)&gt;15,"Ruim","n/a"))</f>
        <v>Bom</v>
      </c>
      <c r="ER119" s="36" t="str">
        <f>IF(VLOOKUP(BK119,Fundamentus!A:U,4,FALSE)&lt;1,"Baixo",IF(VLOOKUP(BK119,Fundamentus!A:U,4,FALSE)&lt;1.5,"Moderado",IF(VLOOKUP(BK119,Fundamentus!A:U,4,FALSE)&gt;1.5,"Alto","n/a")))</f>
        <v>Moderado</v>
      </c>
      <c r="ES119" s="20" t="str">
        <f>IF(VLOOKUP(BK119,Fundamentus!A:U,8,FALSE)&lt;0,"Risco elevado",IF(VLOOKUP(BK119,Fundamentus!A:U,8,FALSE)&lt;1,"Saudável",IF(VLOOKUP(BK119,Fundamentus!A:U,8,FALSE)&lt;3,"Estável",IF(VLOOKUP(BK119,Fundamentus!A:U,8,FALSE)&gt;3,"Alerta","n/a"))))</f>
        <v>Alerta</v>
      </c>
      <c r="ET119" s="36" t="str">
        <f t="shared" si="95"/>
        <v>Ruim</v>
      </c>
      <c r="EU119" s="20" t="str">
        <f>IF(VLOOKUP(BK119,Fundamentus!A:U,12,FALSE)&lt;2,"Subvalorizada",IF(VLOOKUP(BK119,Fundamentus!A:U,12,FALSE)&lt;6,"Muita barata",IF(VLOOKUP(BK119,Fundamentus!A:U,12,FALSE)&lt;6,"Barata",IF(VLOOKUP(BK119,Fundamentus!A:U,12,FALSE)&lt;8,"Atrativa",IF(VLOOKUP(BK119,Fundamentus!A:U,12,FALSE)&gt;8,"Supervalorizada","n/a")))))</f>
        <v>Muita barata</v>
      </c>
      <c r="EW119" s="20" t="str">
        <f>IF(VLOOKUP(BK119,Fundamentus!A:U,17,FALSE)&lt;0.1,"Fraco retorno",IF(VLOOKUP(BK119,Fundamentus!A:U,17,FALSE)&gt;0.1,"Bom retorno","n/a"))</f>
        <v>Bom retorno</v>
      </c>
      <c r="EX119" s="20" t="str">
        <f>IF(VLOOKUP(BK119,Fundamentus!A:U,16,FALSE)&lt;0.1,"Ineficiente",IF(VLOOKUP(BK119,Fundamentus!A:U,16,FALSE)&gt;0.1,"Eficiente","n/a"))</f>
        <v>Eficiente</v>
      </c>
      <c r="EY119" s="41" t="str">
        <f>IF(VLOOKUP(BK119,Fundamentus!A:U,16,FALSE)&lt;0.1,"Oper. Ineficiente",IF(VLOOKUP(BK119,Fundamentus!A:U,16,FALSE)&gt;0.1,"Oper.Eficiente","n/a"))</f>
        <v>Oper.Eficiente</v>
      </c>
      <c r="EZ119" s="42">
        <f>VLOOKUP(BK119,Fundamentus!A:U,14,FALSE)</f>
        <v>1.78E-2</v>
      </c>
      <c r="FA119" s="20" t="str">
        <f>IF(VLOOKUP(BK119,Fundamentus!A:U,21,FALSE)&lt;0,"Negativo",IF(VLOOKUP(BK119,Fundamentus!A:U,21,FALSE)&lt;0.05,"Fraco",IF(VLOOKUP(BK119,Fundamentus!A:U,21,FALSE)&lt;0.1,"Bom",IF(VLOOKUP(BK119,Fundamentus!A:U,21,FALSE)&gt;0.1,"Muito bom","n/a"))))</f>
        <v>Muito bom</v>
      </c>
      <c r="FC119" s="37" t="str">
        <f>IF(VLOOKUP(BK119,Fundamentus!A:U,15,FALSE)&gt;1,"Bom",IF(VLOOKUP(BK119,Fundamentus!A:U,15,FALSE)&lt;1,"Ruim","n/a"))</f>
        <v>Bom</v>
      </c>
      <c r="FD119" s="20" t="str">
        <f>IF(VLOOKUP(BK119,Fundamentus!A:U,20,FALSE)&lt;0.5,"Baixa",IF(VLOOKUP(BK119,Fundamentus!A:U,20,FALSE)&lt;1,"Moderada",IF(VLOOKUP(BK119,Fundamentus!A:U,20,FALSE)&lt;2,"Alerta",IF(VLOOKUP(BK119,Fundamentus!A:U,20,FALSE)&gt;2,"Alta","n/a"))))</f>
        <v>Moderada</v>
      </c>
      <c r="FE119" s="10"/>
    </row>
    <row r="120" spans="1:161" s="2" customFormat="1" ht="11.25" hidden="1"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8">
        <v>5.22</v>
      </c>
      <c r="BC120" s="62">
        <v>5.34</v>
      </c>
      <c r="BD120" s="62">
        <v>5.45</v>
      </c>
      <c r="BE120" s="62">
        <v>5.55</v>
      </c>
      <c r="BF120" s="62">
        <v>5.68</v>
      </c>
      <c r="BG120" s="81">
        <v>5.55</v>
      </c>
      <c r="BH120" s="62">
        <v>5.68</v>
      </c>
      <c r="BI120" s="62">
        <v>5.68</v>
      </c>
      <c r="BJ120" s="62" cm="1">
        <f t="array" aca="1" ref="BJ120" ca="1">_FV(EH120,"Preço")</f>
        <v>5.67</v>
      </c>
      <c r="BK120" s="83" t="s">
        <v>149</v>
      </c>
      <c r="BL120" s="44" cm="1">
        <f t="array" aca="1" ref="BL120" ca="1">_FV(EH120,"Média de volume",TRUE)</f>
        <v>2506660</v>
      </c>
      <c r="BM120" s="44">
        <v>2407100</v>
      </c>
      <c r="BN120" s="44" cm="1">
        <f t="array" aca="1" ref="BN120" ca="1">_FV(EH120,"Volume")</f>
        <v>538400</v>
      </c>
      <c r="BO120" s="32" cm="1">
        <f t="array" aca="1" ref="BO120" ca="1">_FV(EH120,"Beta")</f>
        <v>0.83079999999999998</v>
      </c>
      <c r="BP120" s="86" cm="1">
        <f t="array" aca="1" ref="BP120" ca="1">_FV(EH120,"Variação (%)",TRUE)</f>
        <v>-1.761E-3</v>
      </c>
      <c r="BQ120" s="48"/>
      <c r="BR120" s="48"/>
      <c r="BT120" s="20" cm="1">
        <f t="array" aca="1" ref="BT120" ca="1">_FV(EH120,"Baixo")</f>
        <v>5.59</v>
      </c>
      <c r="BU120" s="20" cm="1">
        <f t="array" aca="1" ref="BU120" ca="1">_FV(EH120,"Alto")</f>
        <v>5.72</v>
      </c>
      <c r="BV120" s="32"/>
      <c r="BW120" s="73">
        <f ca="1">SQRT(22.5*(BJ120/VLOOKUP(BK120,Fundamentus!A:U,3,FALSE))*(BJ120/VLOOKUP(BK120,Fundamentus!A:U,4,FALSE)))</f>
        <v>7.877837180667977</v>
      </c>
      <c r="BY120" s="72">
        <f t="shared" ca="1" si="90"/>
        <v>-1.7605633802816527E-3</v>
      </c>
      <c r="BZ120" s="8"/>
      <c r="CA120" s="71">
        <f t="shared" si="98"/>
        <v>5.16</v>
      </c>
      <c r="CB120" s="71">
        <f t="shared" si="91"/>
        <v>8.65</v>
      </c>
      <c r="CC120" s="71">
        <f t="shared" si="99"/>
        <v>6.7068032786885237</v>
      </c>
      <c r="CD120" s="17"/>
      <c r="CE120" s="43">
        <f t="shared" si="96"/>
        <v>5.5674166975080155</v>
      </c>
      <c r="CF120" s="18">
        <f>FORECAST("04/07/2025", BF120:BI120, $BF$5:$BI$5)</f>
        <v>5.6799999999999926</v>
      </c>
      <c r="CG120" s="43">
        <f t="shared" si="97"/>
        <v>5.7925833024919697</v>
      </c>
      <c r="CI120" s="17"/>
      <c r="CJ120" s="20">
        <f>CA120-2*(CB120-CM120)</f>
        <v>0.8533333333333335</v>
      </c>
      <c r="CK120" s="20">
        <f>CM120-(CB120-CA120)</f>
        <v>3.0066666666666668</v>
      </c>
      <c r="CL120" s="20">
        <f>2*CM120-CB120</f>
        <v>4.3433333333333337</v>
      </c>
      <c r="CM120" s="48">
        <f>(CB120+CA120+BI120)/3</f>
        <v>6.496666666666667</v>
      </c>
      <c r="CN120" s="20">
        <f>2*CM120-CA120</f>
        <v>7.8333333333333339</v>
      </c>
      <c r="CO120" s="20">
        <f>CM120+(CB120-CA120)</f>
        <v>9.9866666666666681</v>
      </c>
      <c r="CP120" s="20">
        <f>CB120+2*(CM120-CA120)</f>
        <v>11.323333333333334</v>
      </c>
      <c r="CQ120" s="2" cm="1">
        <f t="array" aca="1" ref="CQ120" ca="1">MAX(_xlfn._xlws.FILTER(CJ120:CP120,CJ120:CP120&lt;BJ120))</f>
        <v>4.3433333333333337</v>
      </c>
      <c r="CR120" s="2" cm="1">
        <f t="array" aca="1" ref="CR120" ca="1">MIN(_xlfn._xlws.FILTER($CJ120:$CP120,$CJ120:$CP120&gt;BJ120))</f>
        <v>6.496666666666667</v>
      </c>
      <c r="CS120" s="19">
        <f t="shared" ca="1" si="117"/>
        <v>0.49577897160399065</v>
      </c>
      <c r="CT120" s="23">
        <f t="shared" ca="1" si="118"/>
        <v>-0.24788948580199532</v>
      </c>
      <c r="CU120" s="23">
        <f t="shared" ca="1" si="119"/>
        <v>-0.16525965720133021</v>
      </c>
      <c r="CV120" s="23">
        <f t="shared" ca="1" si="120"/>
        <v>-9.915579432079813E-2</v>
      </c>
      <c r="CW120" s="23">
        <f t="shared" ca="1" si="121"/>
        <v>-5.5086552400443405E-2</v>
      </c>
      <c r="CX120" s="23">
        <f t="shared" ca="1" si="122"/>
        <v>-2.9163468917881803E-2</v>
      </c>
      <c r="CY120" s="23">
        <f t="shared" ca="1" si="123"/>
        <v>-1.5023605200120929E-2</v>
      </c>
      <c r="CZ120" s="23">
        <f t="shared" ca="1" si="124"/>
        <v>-7.627368793907548E-3</v>
      </c>
      <c r="DA120" s="24">
        <f t="shared" ca="1" si="125"/>
        <v>7.627368793907548E-3</v>
      </c>
      <c r="DB120" s="24">
        <f t="shared" ca="1" si="126"/>
        <v>1.5023605200120929E-2</v>
      </c>
      <c r="DC120" s="24">
        <f t="shared" ca="1" si="127"/>
        <v>2.9163468917881803E-2</v>
      </c>
      <c r="DD120" s="24">
        <f t="shared" ca="1" si="128"/>
        <v>5.5086552400443405E-2</v>
      </c>
      <c r="DE120" s="24">
        <f t="shared" ca="1" si="129"/>
        <v>9.915579432079813E-2</v>
      </c>
      <c r="DF120" s="24">
        <f t="shared" ca="1" si="130"/>
        <v>0.16525965720133021</v>
      </c>
      <c r="DG120" s="24">
        <f t="shared" ca="1" si="131"/>
        <v>0.24788948580199532</v>
      </c>
      <c r="DI120" s="19" cm="1">
        <f t="array" aca="1" ref="DI120" ca="1">MAX(_xlfn._xlws.FILTER(CT120:DG120,CT120:DG120&lt;BP120))</f>
        <v>-7.627368793907548E-3</v>
      </c>
      <c r="DJ120" s="19" cm="1">
        <f t="array" aca="1" ref="DJ120" ca="1">MIN(_xlfn._xlws.FILTER(CT120:DG120,CT120:DG120&gt;BP120))</f>
        <v>7.627368793907548E-3</v>
      </c>
      <c r="DK120" s="2" cm="1">
        <f t="array" aca="1" ref="DK120" ca="1">_FV(EH120,"Fechamento anterior",TRUE)</f>
        <v>5.68</v>
      </c>
      <c r="DL120" s="36">
        <f ca="1">(BJ120-DM120)/(DN120-DM120)</f>
        <v>0.38458907469585479</v>
      </c>
      <c r="DM120" s="18">
        <f t="shared" ca="1" si="132"/>
        <v>5.6366765452506051</v>
      </c>
      <c r="DN120" s="18">
        <f t="shared" ca="1" si="133"/>
        <v>5.7233234547493943</v>
      </c>
      <c r="DO120" s="9"/>
      <c r="DP120" s="9"/>
      <c r="DQ120" s="95">
        <v>1.6968528338268712E-2</v>
      </c>
      <c r="DR120" s="95">
        <v>2.883540763365925E-2</v>
      </c>
      <c r="DS120" s="95">
        <v>1.5878561532437815E-2</v>
      </c>
      <c r="DT120" s="95">
        <f t="shared" ca="1" si="92"/>
        <v>1.5254737587815096E-2</v>
      </c>
      <c r="DU120" s="87">
        <f ca="1">(BJ120-CF120)/(CF120-CE120)</f>
        <v>-8.8823118336800413E-2</v>
      </c>
      <c r="DV120" s="46"/>
      <c r="DW120" s="43">
        <f>_xlfn.STDEV.P(BF120:BI120)</f>
        <v>5.6291651245988471E-2</v>
      </c>
      <c r="DX120" s="76">
        <f ca="1">BO120-$DT$2</f>
        <v>-0.16630000000000011</v>
      </c>
      <c r="DY120" s="76">
        <f ca="1">BO120-BP120*100</f>
        <v>1.0068999999999999</v>
      </c>
      <c r="DZ120" s="101"/>
      <c r="EA120" s="100">
        <v>-1.8213999999999999</v>
      </c>
      <c r="EB120" s="107">
        <v>3.7690000000000001</v>
      </c>
      <c r="EC120" s="107">
        <v>0.5343</v>
      </c>
      <c r="ED120" s="98">
        <f t="shared" ca="1" si="93"/>
        <v>-1.1732</v>
      </c>
      <c r="EE120" s="66"/>
      <c r="EF120" s="66"/>
      <c r="EH120" s="2" t="e" vm="119">
        <v>#VALUE!</v>
      </c>
      <c r="EJ120" s="10" cm="1">
        <f t="array" aca="1" ref="EJ120" ca="1">_FV(EH120,"Ações em circulação",TRUE)</f>
        <v>820566200</v>
      </c>
      <c r="EK120" s="21">
        <f>VLOOKUP(BK120,Fundamentus!A:U,5,FALSE)</f>
        <v>0.55500000000000005</v>
      </c>
      <c r="EL120" s="2">
        <f ca="1">(BJ120*EJ120)/EK120</f>
        <v>8383081718.9189186</v>
      </c>
      <c r="EM120" s="20">
        <v>274610240.94270265</v>
      </c>
      <c r="EN120" s="20">
        <f t="shared" ca="1" si="94"/>
        <v>274126772.20864862</v>
      </c>
      <c r="EP120" s="19">
        <f t="shared" ca="1" si="89"/>
        <v>-1.7605633802816323E-3</v>
      </c>
      <c r="EQ120" s="40" t="str">
        <f>IF(VLOOKUP(BK120,Fundamentus!A:U,3,FALSE)&lt;15,"Bom",IF(VLOOKUP(BK120,Fundamentus!A:U,3,FALSE)&gt;15,"Ruim","n/a"))</f>
        <v>Ruim</v>
      </c>
      <c r="ER120" s="36" t="str">
        <f>IF(VLOOKUP(BK120,Fundamentus!A:U,4,FALSE)&lt;1,"Baixo",IF(VLOOKUP(BK120,Fundamentus!A:U,4,FALSE)&lt;1.5,"Moderado",IF(VLOOKUP(BK120,Fundamentus!A:U,4,FALSE)&gt;1.5,"Alto","n/a")))</f>
        <v>Baixo</v>
      </c>
      <c r="ES120" s="20" t="str">
        <f>IF(VLOOKUP(BK120,Fundamentus!A:U,8,FALSE)&lt;0,"Risco elevado",IF(VLOOKUP(BK120,Fundamentus!A:U,8,FALSE)&lt;1,"Saudável",IF(VLOOKUP(BK120,Fundamentus!A:U,8,FALSE)&lt;3,"Estável",IF(VLOOKUP(BK120,Fundamentus!A:U,8,FALSE)&gt;3,"Alerta","n/a"))))</f>
        <v>Alerta</v>
      </c>
      <c r="ET120" s="36" t="str">
        <f t="shared" si="95"/>
        <v>Ruim</v>
      </c>
      <c r="EU120" s="20" t="str">
        <f>IF(VLOOKUP(BK120,Fundamentus!A:U,12,FALSE)&lt;2,"Subvalorizada",IF(VLOOKUP(BK120,Fundamentus!A:U,12,FALSE)&lt;6,"Muita barata",IF(VLOOKUP(BK120,Fundamentus!A:U,12,FALSE)&lt;6,"Barata",IF(VLOOKUP(BK120,Fundamentus!A:U,12,FALSE)&lt;8,"Atrativa",IF(VLOOKUP(BK120,Fundamentus!A:U,12,FALSE)&gt;8,"Supervalorizada","n/a")))))</f>
        <v>Muita barata</v>
      </c>
      <c r="EW120" s="20" t="str">
        <f>IF(VLOOKUP(BK120,Fundamentus!A:U,17,FALSE)&lt;0.1,"Fraco retorno",IF(VLOOKUP(BK120,Fundamentus!A:U,17,FALSE)&gt;0.1,"Bom retorno","n/a"))</f>
        <v>Fraco retorno</v>
      </c>
      <c r="EX120" s="20" t="str">
        <f>IF(VLOOKUP(BK120,Fundamentus!A:U,16,FALSE)&lt;0.1,"Ineficiente",IF(VLOOKUP(BK120,Fundamentus!A:U,16,FALSE)&gt;0.1,"Eficiente","n/a"))</f>
        <v>Ineficiente</v>
      </c>
      <c r="EY120" s="41" t="str">
        <f>IF(VLOOKUP(BK120,Fundamentus!A:U,16,FALSE)&lt;0.1,"Oper. Ineficiente",IF(VLOOKUP(BK120,Fundamentus!A:U,16,FALSE)&gt;0.1,"Oper.Eficiente","n/a"))</f>
        <v>Oper. Ineficiente</v>
      </c>
      <c r="EZ120" s="42">
        <f>VLOOKUP(BK120,Fundamentus!A:U,14,FALSE)</f>
        <v>3.27E-2</v>
      </c>
      <c r="FA120" s="20" t="str">
        <f>IF(VLOOKUP(BK120,Fundamentus!A:U,21,FALSE)&lt;0,"Negativo",IF(VLOOKUP(BK120,Fundamentus!A:U,21,FALSE)&lt;0.05,"Fraco",IF(VLOOKUP(BK120,Fundamentus!A:U,21,FALSE)&lt;0.1,"Bom",IF(VLOOKUP(BK120,Fundamentus!A:U,21,FALSE)&gt;0.1,"Muito bom","n/a"))))</f>
        <v>Fraco</v>
      </c>
      <c r="FC120" s="37" t="str">
        <f>IF(VLOOKUP(BK120,Fundamentus!A:U,15,FALSE)&gt;1,"Bom",IF(VLOOKUP(BK120,Fundamentus!A:U,15,FALSE)&lt;1,"Ruim","n/a"))</f>
        <v>Bom</v>
      </c>
      <c r="FD120" s="20" t="str">
        <f>IF(VLOOKUP(BK120,Fundamentus!A:U,20,FALSE)&lt;0.5,"Baixa",IF(VLOOKUP(BK120,Fundamentus!A:U,20,FALSE)&lt;1,"Moderada",IF(VLOOKUP(BK120,Fundamentus!A:U,20,FALSE)&lt;2,"Alerta",IF(VLOOKUP(BK120,Fundamentus!A:U,20,FALSE)&gt;2,"Alta","n/a"))))</f>
        <v>Moderada</v>
      </c>
      <c r="FE120" s="10"/>
    </row>
    <row r="121" spans="1:161" s="2" customFormat="1" ht="11.25" hidden="1"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8">
        <v>17.16</v>
      </c>
      <c r="BC121" s="62">
        <v>20.67</v>
      </c>
      <c r="BD121" s="62">
        <v>22.58</v>
      </c>
      <c r="BE121" s="62">
        <v>23.09</v>
      </c>
      <c r="BF121" s="62">
        <v>24.62</v>
      </c>
      <c r="BG121" s="81">
        <v>23.1</v>
      </c>
      <c r="BH121" s="62">
        <v>23.68</v>
      </c>
      <c r="BI121" s="62">
        <v>24.45</v>
      </c>
      <c r="BJ121" s="62" cm="1">
        <f t="array" aca="1" ref="BJ121" ca="1">_FV(EH121,"Preço")</f>
        <v>24.12</v>
      </c>
      <c r="BK121" s="83" t="s">
        <v>64</v>
      </c>
      <c r="BL121" s="44" cm="1">
        <f t="array" aca="1" ref="BL121" ca="1">_FV(EH121,"Média de volume",TRUE)</f>
        <v>1310960</v>
      </c>
      <c r="BM121" s="44">
        <v>937400</v>
      </c>
      <c r="BN121" s="44" cm="1">
        <f t="array" aca="1" ref="BN121" ca="1">_FV(EH121,"Volume")</f>
        <v>536900</v>
      </c>
      <c r="BO121" s="32" cm="1">
        <f t="array" aca="1" ref="BO121" ca="1">_FV(EH121,"Beta")</f>
        <v>1.4618</v>
      </c>
      <c r="BP121" s="86" cm="1">
        <f t="array" aca="1" ref="BP121" ca="1">_FV(EH121,"Variação (%)",TRUE)</f>
        <v>-1.3496999999999999E-2</v>
      </c>
      <c r="BQ121" s="48"/>
      <c r="BR121" s="48"/>
      <c r="BT121" s="20" cm="1">
        <f t="array" aca="1" ref="BT121" ca="1">_FV(EH121,"Baixo")</f>
        <v>23.77</v>
      </c>
      <c r="BU121" s="20" cm="1">
        <f t="array" aca="1" ref="BU121" ca="1">_FV(EH121,"Alto")</f>
        <v>24.46</v>
      </c>
      <c r="BV121" s="32"/>
      <c r="BW121" s="73">
        <f ca="1">SQRT(22.5*(BJ121/VLOOKUP(BK121,Fundamentus!A:U,3,FALSE))*(BJ121/VLOOKUP(BK121,Fundamentus!A:U,4,FALSE)))</f>
        <v>18.224676800564733</v>
      </c>
      <c r="BY121" s="72">
        <f t="shared" ca="1" si="90"/>
        <v>-1.3496932515337354E-2</v>
      </c>
      <c r="BZ121" s="8"/>
      <c r="CA121" s="71">
        <f t="shared" si="98"/>
        <v>10.62</v>
      </c>
      <c r="CB121" s="71">
        <f t="shared" si="91"/>
        <v>24.62</v>
      </c>
      <c r="CC121" s="71">
        <f t="shared" si="99"/>
        <v>14.716065573770493</v>
      </c>
      <c r="CD121" s="17"/>
      <c r="CE121" s="43">
        <f t="shared" si="96"/>
        <v>22.75784002683773</v>
      </c>
      <c r="CF121" s="18">
        <f>FORECAST("04/07/2025", BF121:BI121, $BF$5:$BI$5)</f>
        <v>23.98</v>
      </c>
      <c r="CG121" s="43">
        <f t="shared" si="97"/>
        <v>25.202159973162271</v>
      </c>
      <c r="CI121" s="17"/>
      <c r="CJ121" s="20">
        <f>CA121-2*(CB121-CM121)</f>
        <v>1.1733333333333267</v>
      </c>
      <c r="CK121" s="20">
        <f>CM121-(CB121-CA121)</f>
        <v>5.8966666666666629</v>
      </c>
      <c r="CL121" s="20">
        <f>2*CM121-CB121</f>
        <v>15.173333333333328</v>
      </c>
      <c r="CM121" s="48">
        <f>(CB121+CA121+BI121)/3</f>
        <v>19.896666666666665</v>
      </c>
      <c r="CN121" s="20">
        <f>2*CM121-CA121</f>
        <v>29.173333333333332</v>
      </c>
      <c r="CO121" s="20">
        <f>CM121+(CB121-CA121)</f>
        <v>33.896666666666668</v>
      </c>
      <c r="CP121" s="20">
        <f>CB121+2*(CM121-CA121)</f>
        <v>43.173333333333332</v>
      </c>
      <c r="CQ121" s="2" cm="1">
        <f t="array" aca="1" ref="CQ121" ca="1">MAX(_xlfn._xlws.FILTER(CJ121:CP121,CJ121:CP121&lt;BJ121))</f>
        <v>19.896666666666665</v>
      </c>
      <c r="CR121" s="2" cm="1">
        <f t="array" aca="1" ref="CR121" ca="1">MIN(_xlfn._xlws.FILTER($CJ121:$CP121,$CJ121:$CP121&gt;BJ121))</f>
        <v>29.173333333333332</v>
      </c>
      <c r="CS121" s="19">
        <f t="shared" ca="1" si="117"/>
        <v>0.46624225163343946</v>
      </c>
      <c r="CT121" s="23">
        <f t="shared" ca="1" si="118"/>
        <v>-0.23312112581671973</v>
      </c>
      <c r="CU121" s="23">
        <f t="shared" ca="1" si="119"/>
        <v>-0.15541408387781316</v>
      </c>
      <c r="CV121" s="23">
        <f t="shared" ca="1" si="120"/>
        <v>-9.3248450326687896E-2</v>
      </c>
      <c r="CW121" s="23">
        <f t="shared" ca="1" si="121"/>
        <v>-5.1804694625937717E-2</v>
      </c>
      <c r="CX121" s="23">
        <f t="shared" ca="1" si="122"/>
        <v>-2.7426014801967026E-2</v>
      </c>
      <c r="CY121" s="23">
        <f t="shared" ca="1" si="123"/>
        <v>-1.4128553079801195E-2</v>
      </c>
      <c r="CZ121" s="23">
        <f t="shared" ca="1" si="124"/>
        <v>-7.1729577174375302E-3</v>
      </c>
      <c r="DA121" s="24">
        <f t="shared" ca="1" si="125"/>
        <v>7.1729577174375302E-3</v>
      </c>
      <c r="DB121" s="24">
        <f t="shared" ca="1" si="126"/>
        <v>1.4128553079801195E-2</v>
      </c>
      <c r="DC121" s="24">
        <f t="shared" ca="1" si="127"/>
        <v>2.7426014801967026E-2</v>
      </c>
      <c r="DD121" s="24">
        <f t="shared" ca="1" si="128"/>
        <v>5.1804694625937717E-2</v>
      </c>
      <c r="DE121" s="24">
        <f t="shared" ca="1" si="129"/>
        <v>9.3248450326687896E-2</v>
      </c>
      <c r="DF121" s="24">
        <f t="shared" ca="1" si="130"/>
        <v>0.15541408387781316</v>
      </c>
      <c r="DG121" s="24">
        <f t="shared" ca="1" si="131"/>
        <v>0.23312112581671973</v>
      </c>
      <c r="DI121" s="19" cm="1">
        <f t="array" aca="1" ref="DI121" ca="1">MAX(_xlfn._xlws.FILTER(CT121:DG121,CT121:DG121&lt;BP121))</f>
        <v>-1.4128553079801195E-2</v>
      </c>
      <c r="DJ121" s="19" cm="1">
        <f t="array" aca="1" ref="DJ121" ca="1">MIN(_xlfn._xlws.FILTER(CT121:DG121,CT121:DG121&gt;BP121))</f>
        <v>-7.1729577174375302E-3</v>
      </c>
      <c r="DK121" s="2" cm="1">
        <f t="array" aca="1" ref="DK121" ca="1">_FV(EH121,"Fechamento anterior",TRUE)</f>
        <v>24.45</v>
      </c>
      <c r="DL121" s="36">
        <f ca="1">(BJ121-DM121)/(DN121-DM121)</f>
        <v>9.0807548679659053E-2</v>
      </c>
      <c r="DM121" s="18">
        <f t="shared" ca="1" si="132"/>
        <v>24.10455687719886</v>
      </c>
      <c r="DN121" s="18">
        <f t="shared" ca="1" si="133"/>
        <v>24.274621183808652</v>
      </c>
      <c r="DO121" s="9"/>
      <c r="DP121" s="9"/>
      <c r="DQ121" s="95">
        <v>9.964008765057852E-3</v>
      </c>
      <c r="DR121" s="95">
        <v>1.1679786960685843E-2</v>
      </c>
      <c r="DS121" s="95">
        <v>1.2945197401427624E-2</v>
      </c>
      <c r="DT121" s="95">
        <f t="shared" ca="1" si="92"/>
        <v>6.9555953623636653E-3</v>
      </c>
      <c r="DU121" s="87">
        <f ca="1">(BJ121-CF121)/(CF121-CE121)</f>
        <v>0.11455128876276191</v>
      </c>
      <c r="DV121" s="46"/>
      <c r="DW121" s="43">
        <f>_xlfn.STDEV.P(BF121:BI121)</f>
        <v>0.61107998658113449</v>
      </c>
      <c r="DX121" s="76">
        <f ca="1">BO121-$DT$2</f>
        <v>0.46469999999999989</v>
      </c>
      <c r="DY121" s="76">
        <f ca="1">BO121-BP121*100</f>
        <v>2.8114999999999997</v>
      </c>
      <c r="DZ121" s="101"/>
      <c r="EA121" s="100">
        <v>0.72609999999999997</v>
      </c>
      <c r="EB121" s="107">
        <v>2.0078999999999998</v>
      </c>
      <c r="EC121" s="107">
        <v>2.4821999999999997</v>
      </c>
      <c r="ED121" s="98">
        <f t="shared" ca="1" si="93"/>
        <v>-2.3468</v>
      </c>
      <c r="EE121" s="66"/>
      <c r="EF121" s="66"/>
      <c r="EH121" s="2" t="e" vm="120">
        <v>#VALUE!</v>
      </c>
      <c r="EJ121" s="10" cm="1">
        <f t="array" aca="1" ref="EJ121" ca="1">_FV(EH121,"Ações em circulação",TRUE)</f>
        <v>122578100</v>
      </c>
      <c r="EK121" s="21">
        <f>VLOOKUP(BK121,Fundamentus!A:U,5,FALSE)</f>
        <v>0.83199999999999996</v>
      </c>
      <c r="EL121" s="2">
        <f ca="1">(BJ121*EJ121)/EK121</f>
        <v>3553586264.4230771</v>
      </c>
      <c r="EM121" s="20">
        <v>182992013.08413464</v>
      </c>
      <c r="EN121" s="20">
        <f t="shared" ca="1" si="94"/>
        <v>180522182.2326923</v>
      </c>
      <c r="EP121" s="19">
        <f t="shared" ca="1" si="89"/>
        <v>-1.3496932515337567E-2</v>
      </c>
      <c r="EQ121" s="40" t="str">
        <f>IF(VLOOKUP(BK121,Fundamentus!A:U,3,FALSE)&lt;15,"Bom",IF(VLOOKUP(BK121,Fundamentus!A:U,3,FALSE)&gt;15,"Ruim","n/a"))</f>
        <v>Ruim</v>
      </c>
      <c r="ER121" s="36" t="str">
        <f>IF(VLOOKUP(BK121,Fundamentus!A:U,4,FALSE)&lt;1,"Baixo",IF(VLOOKUP(BK121,Fundamentus!A:U,4,FALSE)&lt;1.5,"Moderado",IF(VLOOKUP(BK121,Fundamentus!A:U,4,FALSE)&gt;1.5,"Alto","n/a")))</f>
        <v>Alto</v>
      </c>
      <c r="ES121" s="20" t="str">
        <f>IF(VLOOKUP(BK121,Fundamentus!A:U,8,FALSE)&lt;0,"Risco elevado",IF(VLOOKUP(BK121,Fundamentus!A:U,8,FALSE)&lt;1,"Saudável",IF(VLOOKUP(BK121,Fundamentus!A:U,8,FALSE)&lt;3,"Estável",IF(VLOOKUP(BK121,Fundamentus!A:U,8,FALSE)&gt;3,"Alerta","n/a"))))</f>
        <v>Estável</v>
      </c>
      <c r="ET121" s="36" t="str">
        <f t="shared" si="95"/>
        <v>Ruim</v>
      </c>
      <c r="EU121" s="20" t="str">
        <f>IF(VLOOKUP(BK121,Fundamentus!A:U,12,FALSE)&lt;2,"Subvalorizada",IF(VLOOKUP(BK121,Fundamentus!A:U,12,FALSE)&lt;6,"Muita barata",IF(VLOOKUP(BK121,Fundamentus!A:U,12,FALSE)&lt;6,"Barata",IF(VLOOKUP(BK121,Fundamentus!A:U,12,FALSE)&lt;8,"Atrativa",IF(VLOOKUP(BK121,Fundamentus!A:U,12,FALSE)&gt;8,"Supervalorizada","n/a")))))</f>
        <v>Atrativa</v>
      </c>
      <c r="EW121" s="20" t="str">
        <f>IF(VLOOKUP(BK121,Fundamentus!A:U,17,FALSE)&lt;0.1,"Fraco retorno",IF(VLOOKUP(BK121,Fundamentus!A:U,17,FALSE)&gt;0.1,"Bom retorno","n/a"))</f>
        <v>Bom retorno</v>
      </c>
      <c r="EX121" s="20" t="str">
        <f>IF(VLOOKUP(BK121,Fundamentus!A:U,16,FALSE)&lt;0.1,"Ineficiente",IF(VLOOKUP(BK121,Fundamentus!A:U,16,FALSE)&gt;0.1,"Eficiente","n/a"))</f>
        <v>Eficiente</v>
      </c>
      <c r="EY121" s="41" t="str">
        <f>IF(VLOOKUP(BK121,Fundamentus!A:U,16,FALSE)&lt;0.1,"Oper. Ineficiente",IF(VLOOKUP(BK121,Fundamentus!A:U,16,FALSE)&gt;0.1,"Oper.Eficiente","n/a"))</f>
        <v>Oper.Eficiente</v>
      </c>
      <c r="EZ121" s="42">
        <f>VLOOKUP(BK121,Fundamentus!A:U,14,FALSE)</f>
        <v>5.0799999999999998E-2</v>
      </c>
      <c r="FA121" s="20" t="str">
        <f>IF(VLOOKUP(BK121,Fundamentus!A:U,21,FALSE)&lt;0,"Negativo",IF(VLOOKUP(BK121,Fundamentus!A:U,21,FALSE)&lt;0.05,"Fraco",IF(VLOOKUP(BK121,Fundamentus!A:U,21,FALSE)&lt;0.1,"Bom",IF(VLOOKUP(BK121,Fundamentus!A:U,21,FALSE)&gt;0.1,"Muito bom","n/a"))))</f>
        <v>Bom</v>
      </c>
      <c r="FC121" s="37" t="str">
        <f>IF(VLOOKUP(BK121,Fundamentus!A:U,15,FALSE)&gt;1,"Bom",IF(VLOOKUP(BK121,Fundamentus!A:U,15,FALSE)&lt;1,"Ruim","n/a"))</f>
        <v>Bom</v>
      </c>
      <c r="FD121" s="20" t="str">
        <f>IF(VLOOKUP(BK121,Fundamentus!A:U,20,FALSE)&lt;0.5,"Baixa",IF(VLOOKUP(BK121,Fundamentus!A:U,20,FALSE)&lt;1,"Moderada",IF(VLOOKUP(BK121,Fundamentus!A:U,20,FALSE)&lt;2,"Alerta",IF(VLOOKUP(BK121,Fundamentus!A:U,20,FALSE)&gt;2,"Alta","n/a"))))</f>
        <v>Moderada</v>
      </c>
    </row>
    <row r="122" spans="1:161" s="2" customFormat="1" ht="11.25" hidden="1"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8">
        <v>43.42</v>
      </c>
      <c r="BC122" s="62">
        <v>41.79</v>
      </c>
      <c r="BD122" s="62">
        <v>41.7</v>
      </c>
      <c r="BE122" s="62">
        <v>41.96</v>
      </c>
      <c r="BF122" s="62">
        <v>41.31</v>
      </c>
      <c r="BG122" s="81">
        <v>41.3</v>
      </c>
      <c r="BH122" s="62">
        <v>40.049999999999997</v>
      </c>
      <c r="BI122" s="62">
        <v>39.700000000000003</v>
      </c>
      <c r="BJ122" s="62" cm="1">
        <f t="array" aca="1" ref="BJ122" ca="1">_FV(EH122,"Preço")</f>
        <v>40.1</v>
      </c>
      <c r="BK122" s="83" t="s">
        <v>118</v>
      </c>
      <c r="BL122" s="44" cm="1">
        <f t="array" aca="1" ref="BL122" ca="1">_FV(EH122,"Média de volume",TRUE)</f>
        <v>1142340</v>
      </c>
      <c r="BM122" s="44">
        <v>3178400</v>
      </c>
      <c r="BN122" s="44" cm="1">
        <f t="array" aca="1" ref="BN122" ca="1">_FV(EH122,"Volume")</f>
        <v>1697000</v>
      </c>
      <c r="BO122" s="32" cm="1">
        <f t="array" aca="1" ref="BO122" ca="1">_FV(EH122,"Beta")</f>
        <v>0.88619999999999999</v>
      </c>
      <c r="BP122" s="86" cm="1">
        <f t="array" aca="1" ref="BP122" ca="1">_FV(EH122,"Variação (%)",TRUE)</f>
        <v>1.0076E-2</v>
      </c>
      <c r="BQ122" s="48"/>
      <c r="BR122" s="48"/>
      <c r="BT122" s="20" cm="1">
        <f t="array" aca="1" ref="BT122" ca="1">_FV(EH122,"Baixo")</f>
        <v>39.450000000000003</v>
      </c>
      <c r="BU122" s="20" cm="1">
        <f t="array" aca="1" ref="BU122" ca="1">_FV(EH122,"Alto")</f>
        <v>40.270000000000003</v>
      </c>
      <c r="BV122" s="32"/>
      <c r="BW122" s="73">
        <f ca="1">SQRT(22.5*(BJ122/VLOOKUP(BK122,Fundamentus!A:U,3,FALSE))*(BJ122/VLOOKUP(BK122,Fundamentus!A:U,4,FALSE)))</f>
        <v>68.692855726702078</v>
      </c>
      <c r="BY122" s="72">
        <f t="shared" ca="1" si="90"/>
        <v>1.0075566750629686E-2</v>
      </c>
      <c r="BZ122" s="8"/>
      <c r="CA122" s="71">
        <f t="shared" si="98"/>
        <v>33.549999999999997</v>
      </c>
      <c r="CB122" s="71">
        <f t="shared" si="91"/>
        <v>43.95</v>
      </c>
      <c r="CC122" s="71">
        <f t="shared" si="99"/>
        <v>38.431639344262301</v>
      </c>
      <c r="CD122" s="17"/>
      <c r="CE122" s="43">
        <f t="shared" si="96"/>
        <v>37.618724698756004</v>
      </c>
      <c r="CF122" s="18">
        <f>FORECAST("04/07/2025", BF122:BI122, $BF$5:$BI$5)</f>
        <v>39.069999999999709</v>
      </c>
      <c r="CG122" s="43">
        <f t="shared" si="97"/>
        <v>40.521275301243413</v>
      </c>
      <c r="CI122" s="17"/>
      <c r="CJ122" s="20">
        <f>CA122-2*(CB122-CM122)</f>
        <v>23.783333333333331</v>
      </c>
      <c r="CK122" s="20">
        <f>CM122-(CB122-CA122)</f>
        <v>28.666666666666664</v>
      </c>
      <c r="CL122" s="20">
        <f>2*CM122-CB122</f>
        <v>34.183333333333337</v>
      </c>
      <c r="CM122" s="48">
        <f>(CB122+CA122+BI122)/3</f>
        <v>39.06666666666667</v>
      </c>
      <c r="CN122" s="20">
        <f>2*CM122-CA122</f>
        <v>44.583333333333343</v>
      </c>
      <c r="CO122" s="20">
        <f>CM122+(CB122-CA122)</f>
        <v>49.466666666666676</v>
      </c>
      <c r="CP122" s="20">
        <f>CB122+2*(CM122-CA122)</f>
        <v>54.983333333333348</v>
      </c>
      <c r="CQ122" s="2" cm="1">
        <f t="array" aca="1" ref="CQ122" ca="1">MAX(_xlfn._xlws.FILTER(CJ122:CP122,CJ122:CP122&lt;BJ122))</f>
        <v>39.06666666666667</v>
      </c>
      <c r="CR122" s="2" cm="1">
        <f t="array" aca="1" ref="CR122" ca="1">MIN(_xlfn._xlws.FILTER($CJ122:$CP122,$CJ122:$CP122&gt;BJ122))</f>
        <v>44.583333333333343</v>
      </c>
      <c r="CS122" s="19">
        <f t="shared" ca="1" si="117"/>
        <v>0.14121160409556333</v>
      </c>
      <c r="CT122" s="23">
        <f t="shared" ca="1" si="118"/>
        <v>-7.0605802047781663E-2</v>
      </c>
      <c r="CU122" s="23">
        <f t="shared" ca="1" si="119"/>
        <v>-4.7070534698521106E-2</v>
      </c>
      <c r="CV122" s="23">
        <f t="shared" ca="1" si="120"/>
        <v>-2.8242320819112664E-2</v>
      </c>
      <c r="CW122" s="23">
        <f t="shared" ca="1" si="121"/>
        <v>-1.5690178232840371E-2</v>
      </c>
      <c r="CX122" s="23">
        <f t="shared" ca="1" si="122"/>
        <v>-8.3065649467978422E-3</v>
      </c>
      <c r="CY122" s="23">
        <f t="shared" ca="1" si="123"/>
        <v>-4.2791395180473736E-3</v>
      </c>
      <c r="CZ122" s="23">
        <f t="shared" ca="1" si="124"/>
        <v>-2.1724862168548205E-3</v>
      </c>
      <c r="DA122" s="24">
        <f t="shared" ca="1" si="125"/>
        <v>2.1724862168548205E-3</v>
      </c>
      <c r="DB122" s="24">
        <f t="shared" ca="1" si="126"/>
        <v>4.2791395180473736E-3</v>
      </c>
      <c r="DC122" s="24">
        <f t="shared" ca="1" si="127"/>
        <v>8.3065649467978422E-3</v>
      </c>
      <c r="DD122" s="24">
        <f t="shared" ca="1" si="128"/>
        <v>1.5690178232840371E-2</v>
      </c>
      <c r="DE122" s="24">
        <f t="shared" ca="1" si="129"/>
        <v>2.8242320819112664E-2</v>
      </c>
      <c r="DF122" s="24">
        <f t="shared" ca="1" si="130"/>
        <v>4.7070534698521106E-2</v>
      </c>
      <c r="DG122" s="24">
        <f t="shared" ca="1" si="131"/>
        <v>7.0605802047781663E-2</v>
      </c>
      <c r="DI122" s="19" cm="1">
        <f t="array" aca="1" ref="DI122" ca="1">MAX(_xlfn._xlws.FILTER(CT122:DG122,CT122:DG122&lt;BP122))</f>
        <v>8.3065649467978422E-3</v>
      </c>
      <c r="DJ122" s="19" cm="1">
        <f t="array" aca="1" ref="DJ122" ca="1">MIN(_xlfn._xlws.FILTER(CT122:DG122,CT122:DG122&gt;BP122))</f>
        <v>1.5690178232840371E-2</v>
      </c>
      <c r="DK122" s="2" cm="1">
        <f t="array" aca="1" ref="DK122" ca="1">_FV(EH122,"Fechamento anterior",TRUE)</f>
        <v>39.700000000000003</v>
      </c>
      <c r="DL122" s="36">
        <f ca="1">(BJ122-DM122)/(DN122-DM122)</f>
        <v>0.23958483946820699</v>
      </c>
      <c r="DM122" s="18">
        <f t="shared" ca="1" si="132"/>
        <v>40.02977062838788</v>
      </c>
      <c r="DN122" s="18">
        <f t="shared" ca="1" si="133"/>
        <v>40.322900075843762</v>
      </c>
      <c r="DO122" s="9"/>
      <c r="DP122" s="9"/>
      <c r="DQ122" s="94">
        <v>4.1747861412953797E-3</v>
      </c>
      <c r="DR122" s="94">
        <v>4.1747861412953797E-3</v>
      </c>
      <c r="DS122" s="94">
        <v>2.2792022792022812E-3</v>
      </c>
      <c r="DT122" s="94">
        <f t="shared" ca="1" si="92"/>
        <v>7.3836132860425289E-3</v>
      </c>
      <c r="DU122" s="87">
        <f ca="1">(BJ122-CF122)/(CF122-CE122)</f>
        <v>0.7097206154598027</v>
      </c>
      <c r="DV122" s="46"/>
      <c r="DW122" s="43">
        <f>_xlfn.STDEV.P(BF122:BI122)</f>
        <v>0.72563765062185082</v>
      </c>
      <c r="DX122" s="76">
        <f ca="1">BO122-$DT$2</f>
        <v>-0.11090000000000011</v>
      </c>
      <c r="DY122" s="76">
        <f ca="1">BO122-BP122*100</f>
        <v>-0.12140000000000006</v>
      </c>
      <c r="DZ122" s="101"/>
      <c r="EA122" s="100">
        <v>-0.51510000000000011</v>
      </c>
      <c r="EB122" s="107">
        <v>-2.1122999999999998</v>
      </c>
      <c r="EC122" s="107">
        <v>-0.24550000000000005</v>
      </c>
      <c r="ED122" s="98">
        <f t="shared" ca="1" si="93"/>
        <v>1.0499999999999954E-2</v>
      </c>
      <c r="EE122" s="66"/>
      <c r="EF122" s="66"/>
      <c r="EH122" s="2" t="e" vm="121">
        <v>#VALUE!</v>
      </c>
      <c r="EJ122" s="10" cm="1">
        <f t="array" aca="1" ref="EJ122" ca="1">_FV(EH122,"Ações em circulação",TRUE)</f>
        <v>2307100000</v>
      </c>
      <c r="EK122" s="21">
        <f>VLOOKUP(BK122,Fundamentus!A:U,5,FALSE)</f>
        <v>2.2749999999999999</v>
      </c>
      <c r="EL122" s="2">
        <f ca="1">(BJ122*EJ122)/EK122</f>
        <v>40665806593.406593</v>
      </c>
      <c r="EM122" s="20">
        <v>9320227650.5494518</v>
      </c>
      <c r="EN122" s="20">
        <f t="shared" ca="1" si="94"/>
        <v>9414134226.3736267</v>
      </c>
      <c r="EP122" s="19">
        <f t="shared" ca="1" si="89"/>
        <v>1.0075566750629594E-2</v>
      </c>
      <c r="EQ122" s="40" t="str">
        <f>IF(VLOOKUP(BK122,Fundamentus!A:U,3,FALSE)&lt;15,"Bom",IF(VLOOKUP(BK122,Fundamentus!A:U,3,FALSE)&gt;15,"Ruim","n/a"))</f>
        <v>Bom</v>
      </c>
      <c r="ER122" s="36" t="str">
        <f>IF(VLOOKUP(BK122,Fundamentus!A:U,4,FALSE)&lt;1,"Baixo",IF(VLOOKUP(BK122,Fundamentus!A:U,4,FALSE)&lt;1.5,"Moderado",IF(VLOOKUP(BK122,Fundamentus!A:U,4,FALSE)&gt;1.5,"Alto","n/a")))</f>
        <v>Baixo</v>
      </c>
      <c r="ES122" s="20" t="str">
        <f>IF(VLOOKUP(BK122,Fundamentus!A:U,8,FALSE)&lt;0,"Risco elevado",IF(VLOOKUP(BK122,Fundamentus!A:U,8,FALSE)&lt;1,"Saudável",IF(VLOOKUP(BK122,Fundamentus!A:U,8,FALSE)&lt;3,"Estável",IF(VLOOKUP(BK122,Fundamentus!A:U,8,FALSE)&gt;3,"Alerta","n/a"))))</f>
        <v>Estável</v>
      </c>
      <c r="ET122" s="36" t="str">
        <f t="shared" si="95"/>
        <v>Bom</v>
      </c>
      <c r="EU122" s="20" t="str">
        <f>IF(VLOOKUP(BK122,Fundamentus!A:U,12,FALSE)&lt;2,"Subvalorizada",IF(VLOOKUP(BK122,Fundamentus!A:U,12,FALSE)&lt;6,"Muita barata",IF(VLOOKUP(BK122,Fundamentus!A:U,12,FALSE)&lt;6,"Barata",IF(VLOOKUP(BK122,Fundamentus!A:U,12,FALSE)&lt;8,"Atrativa",IF(VLOOKUP(BK122,Fundamentus!A:U,12,FALSE)&gt;8,"Supervalorizada","n/a")))))</f>
        <v>Atrativa</v>
      </c>
      <c r="EW122" s="20" t="str">
        <f>IF(VLOOKUP(BK122,Fundamentus!A:U,17,FALSE)&lt;0.1,"Fraco retorno",IF(VLOOKUP(BK122,Fundamentus!A:U,17,FALSE)&gt;0.1,"Bom retorno","n/a"))</f>
        <v>Fraco retorno</v>
      </c>
      <c r="EX122" s="20" t="str">
        <f>IF(VLOOKUP(BK122,Fundamentus!A:U,16,FALSE)&lt;0.1,"Ineficiente",IF(VLOOKUP(BK122,Fundamentus!A:U,16,FALSE)&gt;0.1,"Eficiente","n/a"))</f>
        <v>Ineficiente</v>
      </c>
      <c r="EY122" s="41" t="str">
        <f>IF(VLOOKUP(BK122,Fundamentus!A:U,16,FALSE)&lt;0.1,"Oper. Ineficiente",IF(VLOOKUP(BK122,Fundamentus!A:U,16,FALSE)&gt;0.1,"Oper.Eficiente","n/a"))</f>
        <v>Oper. Ineficiente</v>
      </c>
      <c r="EZ122" s="42">
        <f>VLOOKUP(BK122,Fundamentus!A:U,14,FALSE)</f>
        <v>0.23150000000000001</v>
      </c>
      <c r="FA122" s="20" t="str">
        <f>IF(VLOOKUP(BK122,Fundamentus!A:U,21,FALSE)&lt;0,"Negativo",IF(VLOOKUP(BK122,Fundamentus!A:U,21,FALSE)&lt;0.05,"Fraco",IF(VLOOKUP(BK122,Fundamentus!A:U,21,FALSE)&lt;0.1,"Bom",IF(VLOOKUP(BK122,Fundamentus!A:U,21,FALSE)&gt;0.1,"Muito bom","n/a"))))</f>
        <v>Bom</v>
      </c>
      <c r="FC122" s="37" t="str">
        <f>IF(VLOOKUP(BK122,Fundamentus!A:U,15,FALSE)&gt;1,"Bom",IF(VLOOKUP(BK122,Fundamentus!A:U,15,FALSE)&lt;1,"Ruim","n/a"))</f>
        <v>Bom</v>
      </c>
      <c r="FD122" s="20" t="str">
        <f>IF(VLOOKUP(BK122,Fundamentus!A:U,20,FALSE)&lt;0.5,"Baixa",IF(VLOOKUP(BK122,Fundamentus!A:U,20,FALSE)&lt;1,"Moderada",IF(VLOOKUP(BK122,Fundamentus!A:U,20,FALSE)&lt;2,"Alerta",IF(VLOOKUP(BK122,Fundamentus!A:U,20,FALSE)&gt;2,"Alta","n/a"))))</f>
        <v>Moderada</v>
      </c>
      <c r="FE122" s="10"/>
    </row>
    <row r="123" spans="1:161" s="2" customFormat="1" ht="11.25" hidden="1"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8">
        <v>6</v>
      </c>
      <c r="BC123" s="62">
        <v>6.93</v>
      </c>
      <c r="BD123" s="62">
        <v>7.06</v>
      </c>
      <c r="BE123" s="62">
        <v>7.19</v>
      </c>
      <c r="BF123" s="62">
        <v>7.39</v>
      </c>
      <c r="BG123" s="81">
        <v>7.65</v>
      </c>
      <c r="BH123" s="62">
        <v>7.89</v>
      </c>
      <c r="BI123" s="62">
        <v>7.72</v>
      </c>
      <c r="BJ123" s="62" cm="1">
        <f t="array" aca="1" ref="BJ123" ca="1">_FV(EH123,"Preço")</f>
        <v>7.76</v>
      </c>
      <c r="BK123" s="83" t="s">
        <v>119</v>
      </c>
      <c r="BL123" s="44" cm="1">
        <f t="array" aca="1" ref="BL123" ca="1">_FV(EH123,"Média de volume",TRUE)</f>
        <v>489700</v>
      </c>
      <c r="BM123" s="44">
        <v>230700</v>
      </c>
      <c r="BN123" s="44" cm="1">
        <f t="array" aca="1" ref="BN123" ca="1">_FV(EH123,"Volume")</f>
        <v>128800</v>
      </c>
      <c r="BO123" s="32" cm="1">
        <f t="array" aca="1" ref="BO123" ca="1">_FV(EH123,"Beta")</f>
        <v>1.056</v>
      </c>
      <c r="BP123" s="86" cm="1">
        <f t="array" aca="1" ref="BP123" ca="1">_FV(EH123,"Variação (%)",TRUE)</f>
        <v>5.1809999999999998E-3</v>
      </c>
      <c r="BQ123" s="71"/>
      <c r="BR123" s="71"/>
      <c r="BT123" s="20" cm="1">
        <f t="array" aca="1" ref="BT123" ca="1">_FV(EH123,"Baixo")</f>
        <v>7.65</v>
      </c>
      <c r="BU123" s="20" cm="1">
        <f t="array" aca="1" ref="BU123" ca="1">_FV(EH123,"Alto")</f>
        <v>7.8</v>
      </c>
      <c r="BV123" s="32"/>
      <c r="BW123" s="73">
        <f ca="1">SQRT(22.5*(BJ123/VLOOKUP(BK123,Fundamentus!A:U,3,FALSE))*(BJ123/VLOOKUP(BK123,Fundamentus!A:U,4,FALSE)))</f>
        <v>9.5378441449949385</v>
      </c>
      <c r="BY123" s="72">
        <f t="shared" ca="1" si="90"/>
        <v>5.1813471502590719E-3</v>
      </c>
      <c r="BZ123" s="8"/>
      <c r="CA123" s="71">
        <f t="shared" si="98"/>
        <v>5.17</v>
      </c>
      <c r="CB123" s="71">
        <f t="shared" si="91"/>
        <v>7.89</v>
      </c>
      <c r="CC123" s="71">
        <f t="shared" si="99"/>
        <v>6.1166393442622953</v>
      </c>
      <c r="CD123" s="17"/>
      <c r="CE123" s="43">
        <f t="shared" si="96"/>
        <v>7.6101736529935859</v>
      </c>
      <c r="CF123" s="18">
        <f>FORECAST("04/07/2025", BF123:BI123, $BF$5:$BI$5)</f>
        <v>7.9700000000000273</v>
      </c>
      <c r="CG123" s="43">
        <f t="shared" si="97"/>
        <v>8.3298263470064686</v>
      </c>
      <c r="CI123" s="17"/>
      <c r="CJ123" s="20">
        <f>CA123-2*(CB123-CM123)</f>
        <v>3.2433333333333323</v>
      </c>
      <c r="CK123" s="20">
        <f>CM123-(CB123-CA123)</f>
        <v>4.2066666666666661</v>
      </c>
      <c r="CL123" s="20">
        <f>2*CM123-CB123</f>
        <v>5.963333333333332</v>
      </c>
      <c r="CM123" s="48">
        <f>(CB123+CA123+BI123)/3</f>
        <v>6.9266666666666659</v>
      </c>
      <c r="CN123" s="20">
        <f>2*CM123-CA123</f>
        <v>8.6833333333333318</v>
      </c>
      <c r="CO123" s="20">
        <f>CM123+(CB123-CA123)</f>
        <v>9.6466666666666647</v>
      </c>
      <c r="CP123" s="20">
        <f>CB123+2*(CM123-CA123)</f>
        <v>11.403333333333332</v>
      </c>
      <c r="CQ123" s="2" cm="1">
        <f t="array" aca="1" ref="CQ123" ca="1">MAX(_xlfn._xlws.FILTER(CJ123:CP123,CJ123:CP123&lt;BJ123))</f>
        <v>6.9266666666666659</v>
      </c>
      <c r="CR123" s="2" cm="1">
        <f t="array" aca="1" ref="CR123" ca="1">MIN(_xlfn._xlws.FILTER($CJ123:$CP123,$CJ123:$CP123&gt;BJ123))</f>
        <v>8.6833333333333318</v>
      </c>
      <c r="CS123" s="19">
        <f t="shared" ca="1" si="117"/>
        <v>0.25360923965351301</v>
      </c>
      <c r="CT123" s="23">
        <f t="shared" ca="1" si="118"/>
        <v>-0.1268046198267565</v>
      </c>
      <c r="CU123" s="23">
        <f t="shared" ca="1" si="119"/>
        <v>-8.4536413217837669E-2</v>
      </c>
      <c r="CV123" s="23">
        <f t="shared" ca="1" si="120"/>
        <v>-5.0721847930702599E-2</v>
      </c>
      <c r="CW123" s="23">
        <f t="shared" ca="1" si="121"/>
        <v>-2.817880440594589E-2</v>
      </c>
      <c r="CX123" s="23">
        <f t="shared" ca="1" si="122"/>
        <v>-1.4918190567853706E-2</v>
      </c>
      <c r="CY123" s="23">
        <f t="shared" ca="1" si="123"/>
        <v>-7.685128474348879E-3</v>
      </c>
      <c r="CZ123" s="23">
        <f t="shared" ca="1" si="124"/>
        <v>-3.9016806100540462E-3</v>
      </c>
      <c r="DA123" s="24">
        <f t="shared" ca="1" si="125"/>
        <v>3.9016806100540462E-3</v>
      </c>
      <c r="DB123" s="24">
        <f t="shared" ca="1" si="126"/>
        <v>7.685128474348879E-3</v>
      </c>
      <c r="DC123" s="24">
        <f t="shared" ca="1" si="127"/>
        <v>1.4918190567853706E-2</v>
      </c>
      <c r="DD123" s="24">
        <f t="shared" ca="1" si="128"/>
        <v>2.817880440594589E-2</v>
      </c>
      <c r="DE123" s="24">
        <f t="shared" ca="1" si="129"/>
        <v>5.0721847930702599E-2</v>
      </c>
      <c r="DF123" s="24">
        <f t="shared" ca="1" si="130"/>
        <v>8.4536413217837669E-2</v>
      </c>
      <c r="DG123" s="24">
        <f t="shared" ca="1" si="131"/>
        <v>0.1268046198267565</v>
      </c>
      <c r="DI123" s="19" cm="1">
        <f t="array" aca="1" ref="DI123" ca="1">MAX(_xlfn._xlws.FILTER(CT123:DG123,CT123:DG123&lt;BP123))</f>
        <v>3.9016806100540462E-3</v>
      </c>
      <c r="DJ123" s="19" cm="1">
        <f t="array" aca="1" ref="DJ123" ca="1">MIN(_xlfn._xlws.FILTER(CT123:DG123,CT123:DG123&gt;BP123))</f>
        <v>7.685128474348879E-3</v>
      </c>
      <c r="DK123" s="2" cm="1">
        <f t="array" aca="1" ref="DK123" ca="1">_FV(EH123,"Fechamento anterior",TRUE)</f>
        <v>7.72</v>
      </c>
      <c r="DL123" s="36">
        <f ca="1">(BJ123-DM123)/(DN123-DM123)</f>
        <v>0.33822761304087379</v>
      </c>
      <c r="DM123" s="18">
        <f t="shared" ca="1" si="132"/>
        <v>7.7501209743096169</v>
      </c>
      <c r="DN123" s="18">
        <f t="shared" ca="1" si="133"/>
        <v>7.7793291918219731</v>
      </c>
      <c r="DO123" s="9"/>
      <c r="DP123" s="9"/>
      <c r="DQ123" s="94">
        <v>3.1550892760857196E-3</v>
      </c>
      <c r="DR123" s="94">
        <v>1.925925925925925E-2</v>
      </c>
      <c r="DS123" s="94">
        <v>6.9106827347006662E-3</v>
      </c>
      <c r="DT123" s="94">
        <f t="shared" ca="1" si="92"/>
        <v>3.7834478642948329E-3</v>
      </c>
      <c r="DU123" s="87">
        <f ca="1">(BJ123-CF123)/(CF123-CE123)</f>
        <v>-0.58361485129455581</v>
      </c>
      <c r="DV123" s="46"/>
      <c r="DW123" s="43">
        <f>_xlfn.STDEV.P(BF123:BI123)</f>
        <v>0.17991317350322072</v>
      </c>
      <c r="DX123" s="76">
        <f ca="1">BO123-$DT$2</f>
        <v>5.8899999999999952E-2</v>
      </c>
      <c r="DY123" s="76">
        <f ca="1">BO123-BP123*100</f>
        <v>0.53790000000000004</v>
      </c>
      <c r="DZ123" s="101"/>
      <c r="EA123" s="100">
        <v>-2.0792999999999999</v>
      </c>
      <c r="EB123" s="107">
        <v>2.3956999999999997</v>
      </c>
      <c r="EC123" s="107">
        <v>0.96420000000000006</v>
      </c>
      <c r="ED123" s="98">
        <f t="shared" ca="1" si="93"/>
        <v>-0.47900000000000009</v>
      </c>
      <c r="EE123" s="66"/>
      <c r="EF123" s="66"/>
      <c r="EH123" s="2" t="e" vm="122">
        <v>#VALUE!</v>
      </c>
      <c r="EJ123" s="10" cm="1">
        <f t="array" aca="1" ref="EJ123" ca="1">_FV(EH123,"Ações em circulação",TRUE)</f>
        <v>159907300</v>
      </c>
      <c r="EK123" s="21">
        <f>VLOOKUP(BK123,Fundamentus!A:U,5,FALSE)</f>
        <v>0.93700000000000006</v>
      </c>
      <c r="EL123" s="2">
        <f ca="1">(BJ123*EJ123)/EK123</f>
        <v>1324312324.4397011</v>
      </c>
      <c r="EM123" s="20">
        <v>316460130.53489858</v>
      </c>
      <c r="EN123" s="20">
        <f t="shared" ca="1" si="94"/>
        <v>318099820.3304162</v>
      </c>
      <c r="EP123" s="19">
        <f t="shared" ca="1" si="89"/>
        <v>5.1813471502590858E-3</v>
      </c>
      <c r="EQ123" s="40" t="str">
        <f>IF(VLOOKUP(BK123,Fundamentus!A:U,3,FALSE)&lt;15,"Bom",IF(VLOOKUP(BK123,Fundamentus!A:U,3,FALSE)&gt;15,"Ruim","n/a"))</f>
        <v>Bom</v>
      </c>
      <c r="ER123" s="36" t="str">
        <f>IF(VLOOKUP(BK123,Fundamentus!A:U,4,FALSE)&lt;1,"Baixo",IF(VLOOKUP(BK123,Fundamentus!A:U,4,FALSE)&lt;1.5,"Moderado",IF(VLOOKUP(BK123,Fundamentus!A:U,4,FALSE)&gt;1.5,"Alto","n/a")))</f>
        <v>Alto</v>
      </c>
      <c r="ES123" s="20" t="str">
        <f>IF(VLOOKUP(BK123,Fundamentus!A:U,8,FALSE)&lt;0,"Risco elevado",IF(VLOOKUP(BK123,Fundamentus!A:U,8,FALSE)&lt;1,"Saudável",IF(VLOOKUP(BK123,Fundamentus!A:U,8,FALSE)&lt;3,"Estável",IF(VLOOKUP(BK123,Fundamentus!A:U,8,FALSE)&gt;3,"Alerta","n/a"))))</f>
        <v>Alerta</v>
      </c>
      <c r="ET123" s="36" t="str">
        <f t="shared" si="95"/>
        <v>Ruim</v>
      </c>
      <c r="EU123" s="20" t="str">
        <f>IF(VLOOKUP(BK123,Fundamentus!A:U,12,FALSE)&lt;2,"Subvalorizada",IF(VLOOKUP(BK123,Fundamentus!A:U,12,FALSE)&lt;6,"Muita barata",IF(VLOOKUP(BK123,Fundamentus!A:U,12,FALSE)&lt;6,"Barata",IF(VLOOKUP(BK123,Fundamentus!A:U,12,FALSE)&lt;8,"Atrativa",IF(VLOOKUP(BK123,Fundamentus!A:U,12,FALSE)&gt;8,"Supervalorizada","n/a")))))</f>
        <v>Subvalorizada</v>
      </c>
      <c r="EW123" s="20" t="str">
        <f>IF(VLOOKUP(BK123,Fundamentus!A:U,17,FALSE)&lt;0.1,"Fraco retorno",IF(VLOOKUP(BK123,Fundamentus!A:U,17,FALSE)&gt;0.1,"Bom retorno","n/a"))</f>
        <v>Bom retorno</v>
      </c>
      <c r="EX123" s="20" t="str">
        <f>IF(VLOOKUP(BK123,Fundamentus!A:U,16,FALSE)&lt;0.1,"Ineficiente",IF(VLOOKUP(BK123,Fundamentus!A:U,16,FALSE)&gt;0.1,"Eficiente","n/a"))</f>
        <v>Eficiente</v>
      </c>
      <c r="EY123" s="41" t="str">
        <f>IF(VLOOKUP(BK123,Fundamentus!A:U,16,FALSE)&lt;0.1,"Oper. Ineficiente",IF(VLOOKUP(BK123,Fundamentus!A:U,16,FALSE)&gt;0.1,"Oper.Eficiente","n/a"))</f>
        <v>Oper.Eficiente</v>
      </c>
      <c r="EZ123" s="42">
        <f>VLOOKUP(BK123,Fundamentus!A:U,14,FALSE)</f>
        <v>0.2402</v>
      </c>
      <c r="FA123" s="20" t="str">
        <f>IF(VLOOKUP(BK123,Fundamentus!A:U,21,FALSE)&lt;0,"Negativo",IF(VLOOKUP(BK123,Fundamentus!A:U,21,FALSE)&lt;0.05,"Fraco",IF(VLOOKUP(BK123,Fundamentus!A:U,21,FALSE)&lt;0.1,"Bom",IF(VLOOKUP(BK123,Fundamentus!A:U,21,FALSE)&gt;0.1,"Muito bom","n/a"))))</f>
        <v>Muito bom</v>
      </c>
      <c r="FC123" s="37" t="str">
        <f>IF(VLOOKUP(BK123,Fundamentus!A:U,15,FALSE)&gt;1,"Bom",IF(VLOOKUP(BK123,Fundamentus!A:U,15,FALSE)&lt;1,"Ruim","n/a"))</f>
        <v>Bom</v>
      </c>
      <c r="FD123" s="20" t="str">
        <f>IF(VLOOKUP(BK123,Fundamentus!A:U,20,FALSE)&lt;0.5,"Baixa",IF(VLOOKUP(BK123,Fundamentus!A:U,20,FALSE)&lt;1,"Moderada",IF(VLOOKUP(BK123,Fundamentus!A:U,20,FALSE)&lt;2,"Alerta",IF(VLOOKUP(BK123,Fundamentus!A:U,20,FALSE)&gt;2,"Alta","n/a"))))</f>
        <v>Moderada</v>
      </c>
      <c r="FE123" s="10">
        <v>3</v>
      </c>
    </row>
    <row r="124" spans="1:161"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8">
        <v>6.12</v>
      </c>
      <c r="BC124" s="62">
        <v>6.15</v>
      </c>
      <c r="BD124" s="62">
        <v>6.4</v>
      </c>
      <c r="BE124" s="62">
        <v>6.51</v>
      </c>
      <c r="BF124" s="62">
        <v>6.57</v>
      </c>
      <c r="BG124" s="81">
        <v>7.06</v>
      </c>
      <c r="BH124" s="62">
        <v>7.29</v>
      </c>
      <c r="BI124" s="62">
        <v>7.5</v>
      </c>
      <c r="BJ124" s="62" cm="1">
        <f t="array" aca="1" ref="BJ124" ca="1">_FV(EH124,"Preço")</f>
        <v>7.52</v>
      </c>
      <c r="BK124" s="80" t="s">
        <v>86</v>
      </c>
      <c r="BL124" s="44" cm="1">
        <f t="array" aca="1" ref="BL124" ca="1">_FV(EH124,"Média de volume",TRUE)</f>
        <v>1569060</v>
      </c>
      <c r="BM124" s="44">
        <v>1722500</v>
      </c>
      <c r="BN124" s="44" cm="1">
        <f t="array" aca="1" ref="BN124" ca="1">_FV(EH124,"Volume")</f>
        <v>1578500</v>
      </c>
      <c r="BO124" s="32" cm="1">
        <f t="array" aca="1" ref="BO124" ca="1">_FV(EH124,"Beta")</f>
        <v>0.57330000000000003</v>
      </c>
      <c r="BP124" s="86" cm="1">
        <f t="array" aca="1" ref="BP124" ca="1">_FV(EH124,"Variação (%)",TRUE)</f>
        <v>2.6670000000000001E-3</v>
      </c>
      <c r="BQ124" s="18">
        <v>6.94</v>
      </c>
      <c r="BR124" s="18"/>
      <c r="BT124" s="20" cm="1">
        <f t="array" aca="1" ref="BT124" ca="1">_FV(EH124,"Baixo")</f>
        <v>7.37</v>
      </c>
      <c r="BU124" s="20" cm="1">
        <f t="array" aca="1" ref="BU124" ca="1">_FV(EH124,"Alto")</f>
        <v>7.65</v>
      </c>
      <c r="BV124" s="32"/>
      <c r="BW124" s="73">
        <f ca="1">SQRT(22.5*(BJ124/VLOOKUP(BK124,Fundamentus!A:U,3,FALSE))*(BJ124/VLOOKUP(BK124,Fundamentus!A:U,4,FALSE)))</f>
        <v>17.843947048933092</v>
      </c>
      <c r="BY124" s="72">
        <f t="shared" ca="1" si="90"/>
        <v>2.6666666666666098E-3</v>
      </c>
      <c r="BZ124" s="8"/>
      <c r="CA124" s="71">
        <f t="shared" si="98"/>
        <v>5.03</v>
      </c>
      <c r="CB124" s="71">
        <f t="shared" si="91"/>
        <v>7.5</v>
      </c>
      <c r="CC124" s="71">
        <f t="shared" si="99"/>
        <v>5.7363934426229513</v>
      </c>
      <c r="CD124" s="17"/>
      <c r="CE124" s="43">
        <f t="shared" si="96"/>
        <v>7.1682630557790494</v>
      </c>
      <c r="CF124" s="18">
        <f>FORECAST("04/07/2025", BF124:BI124, $BF$5:$BI$5)</f>
        <v>7.8599999999999</v>
      </c>
      <c r="CG124" s="43">
        <f t="shared" si="97"/>
        <v>8.5517369442207496</v>
      </c>
      <c r="CI124" s="17"/>
      <c r="CJ124" s="20">
        <f>CA124-2*(CB124-CM124)</f>
        <v>3.3833333333333337</v>
      </c>
      <c r="CK124" s="20">
        <f>CM124-(CB124-CA124)</f>
        <v>4.206666666666667</v>
      </c>
      <c r="CL124" s="20">
        <f>2*CM124-CB124</f>
        <v>5.8533333333333335</v>
      </c>
      <c r="CM124" s="48">
        <f>(CB124+CA124+BI124)/3</f>
        <v>6.6766666666666667</v>
      </c>
      <c r="CN124" s="20">
        <f>2*CM124-CA124</f>
        <v>8.3233333333333341</v>
      </c>
      <c r="CO124" s="20">
        <f>CM124+(CB124-CA124)</f>
        <v>9.1466666666666665</v>
      </c>
      <c r="CP124" s="20">
        <f>CB124+2*(CM124-CA124)</f>
        <v>10.793333333333333</v>
      </c>
      <c r="CQ124" s="2" cm="1">
        <f t="array" aca="1" ref="CQ124" ca="1">MAX(_xlfn._xlws.FILTER(CJ124:CP124,CJ124:CP124&lt;BJ124))</f>
        <v>6.6766666666666667</v>
      </c>
      <c r="CR124" s="2" cm="1">
        <f t="array" aca="1" ref="CR124" ca="1">MIN(_xlfn._xlws.FILTER($CJ124:$CP124,$CJ124:$CP124&gt;BJ124))</f>
        <v>8.3233333333333341</v>
      </c>
      <c r="CS124" s="19">
        <f t="shared" ca="1" si="117"/>
        <v>0.24663005491762369</v>
      </c>
      <c r="CT124" s="23">
        <f t="shared" ca="1" si="118"/>
        <v>-0.12331502745881184</v>
      </c>
      <c r="CU124" s="23">
        <f t="shared" ca="1" si="119"/>
        <v>-8.2210018305874558E-2</v>
      </c>
      <c r="CV124" s="23">
        <f t="shared" ca="1" si="120"/>
        <v>-4.9326010983524737E-2</v>
      </c>
      <c r="CW124" s="23">
        <f t="shared" ca="1" si="121"/>
        <v>-2.740333943529152E-2</v>
      </c>
      <c r="CX124" s="23">
        <f t="shared" ca="1" si="122"/>
        <v>-1.4507650289271982E-2</v>
      </c>
      <c r="CY124" s="23">
        <f t="shared" ca="1" si="123"/>
        <v>-7.473638027806778E-3</v>
      </c>
      <c r="CZ124" s="23">
        <f t="shared" ca="1" si="124"/>
        <v>-3.7943085371942107E-3</v>
      </c>
      <c r="DA124" s="24">
        <f t="shared" ca="1" si="125"/>
        <v>3.7943085371942107E-3</v>
      </c>
      <c r="DB124" s="24">
        <f t="shared" ca="1" si="126"/>
        <v>7.473638027806778E-3</v>
      </c>
      <c r="DC124" s="24">
        <f t="shared" ca="1" si="127"/>
        <v>1.4507650289271982E-2</v>
      </c>
      <c r="DD124" s="24">
        <f t="shared" ca="1" si="128"/>
        <v>2.740333943529152E-2</v>
      </c>
      <c r="DE124" s="24">
        <f t="shared" ca="1" si="129"/>
        <v>4.9326010983524737E-2</v>
      </c>
      <c r="DF124" s="24">
        <f t="shared" ca="1" si="130"/>
        <v>8.2210018305874558E-2</v>
      </c>
      <c r="DG124" s="24">
        <f t="shared" ca="1" si="131"/>
        <v>0.12331502745881184</v>
      </c>
      <c r="DI124" s="19" cm="1">
        <f t="array" aca="1" ref="DI124" ca="1">MAX(_xlfn._xlws.FILTER(CT124:DG124,CT124:DG124&lt;BP124))</f>
        <v>-3.7943085371942107E-3</v>
      </c>
      <c r="DJ124" s="19" cm="1">
        <f t="array" aca="1" ref="DJ124" ca="1">MIN(_xlfn._xlws.FILTER(CT124:DG124,CT124:DG124&gt;BP124))</f>
        <v>3.7943085371942107E-3</v>
      </c>
      <c r="DK124" s="2" cm="1">
        <f t="array" aca="1" ref="DK124" ca="1">_FV(EH124,"Fechamento anterior",TRUE)</f>
        <v>7.5</v>
      </c>
      <c r="DL124" s="36">
        <f ca="1">(BJ124-DM124)/(DN124-DM124)</f>
        <v>0.85140350877191673</v>
      </c>
      <c r="DM124" s="18">
        <f t="shared" ca="1" si="132"/>
        <v>7.471542685971043</v>
      </c>
      <c r="DN124" s="18">
        <f t="shared" ca="1" si="133"/>
        <v>7.528457314028957</v>
      </c>
      <c r="DO124" s="9"/>
      <c r="DP124" s="9"/>
      <c r="DQ124" s="103">
        <v>3.522511047160763E-3</v>
      </c>
      <c r="DR124" s="103">
        <v>3.9394781779913471E-3</v>
      </c>
      <c r="DS124" s="103">
        <v>1.1085513404665601E-2</v>
      </c>
      <c r="DT124" s="103">
        <f t="shared" ca="1" si="92"/>
        <v>7.5886170743884214E-3</v>
      </c>
      <c r="DU124" s="91">
        <f ca="1">(BJ124-CF124)/(CF124-CE124)</f>
        <v>-0.49151632400213213</v>
      </c>
      <c r="DV124" s="46"/>
      <c r="DW124" s="43">
        <f>_xlfn.STDEV.P(BF124:BI124)</f>
        <v>0.34586847211042515</v>
      </c>
      <c r="DX124" s="92">
        <f ca="1">BO124-$DT$2</f>
        <v>-0.42380000000000007</v>
      </c>
      <c r="DY124" s="92">
        <f ca="1">BO124-BP124*100</f>
        <v>0.30660000000000004</v>
      </c>
      <c r="DZ124" s="102"/>
      <c r="EA124" s="61">
        <v>1.4191</v>
      </c>
      <c r="EB124" s="61">
        <v>2.2114000000000003</v>
      </c>
      <c r="EC124" s="61">
        <v>0.71709999999999996</v>
      </c>
      <c r="ED124" s="98">
        <f t="shared" ca="1" si="93"/>
        <v>-0.73040000000000016</v>
      </c>
      <c r="EE124" s="66"/>
      <c r="EF124" s="66"/>
      <c r="EH124" s="2" t="e" vm="123">
        <v>#VALUE!</v>
      </c>
      <c r="EJ124" s="10" cm="1">
        <f t="array" aca="1" ref="EJ124" ca="1">_FV(EH124,"Ações em circulação",TRUE)</f>
        <v>1511206000</v>
      </c>
      <c r="EK124" s="21">
        <f>VLOOKUP(BK124,Fundamentus!A:U,5,FALSE)</f>
        <v>1.534</v>
      </c>
      <c r="EL124" s="2">
        <f ca="1">(BJ124*EJ124)/EK124</f>
        <v>7408258878.7483702</v>
      </c>
      <c r="EM124" s="20">
        <v>2521714184.159061</v>
      </c>
      <c r="EN124" s="20">
        <f t="shared" ca="1" si="94"/>
        <v>2528438755.3168187</v>
      </c>
      <c r="EP124" s="19">
        <f t="shared" ca="1" si="89"/>
        <v>2.6666666666668171E-3</v>
      </c>
      <c r="EQ124" s="40" t="str">
        <f>IF(VLOOKUP(BK124,Fundamentus!A:U,3,FALSE)&lt;15,"Bom",IF(VLOOKUP(BK124,Fundamentus!A:U,3,FALSE)&gt;15,"Ruim","n/a"))</f>
        <v>Bom</v>
      </c>
      <c r="ER124" s="36" t="str">
        <f>IF(VLOOKUP(BK124,Fundamentus!A:U,4,FALSE)&lt;1,"Baixo",IF(VLOOKUP(BK124,Fundamentus!A:U,4,FALSE)&lt;1.5,"Moderado",IF(VLOOKUP(BK124,Fundamentus!A:U,4,FALSE)&gt;1.5,"Alto","n/a")))</f>
        <v>Baixo</v>
      </c>
      <c r="ES124" s="20" t="str">
        <f>IF(VLOOKUP(BK124,Fundamentus!A:U,8,FALSE)&lt;0,"Risco elevado",IF(VLOOKUP(BK124,Fundamentus!A:U,8,FALSE)&lt;1,"Saudável",IF(VLOOKUP(BK124,Fundamentus!A:U,8,FALSE)&lt;3,"Estável",IF(VLOOKUP(BK124,Fundamentus!A:U,8,FALSE)&gt;3,"Alerta","n/a"))))</f>
        <v>Alerta</v>
      </c>
      <c r="ET124" s="36" t="str">
        <f t="shared" si="95"/>
        <v>Bom</v>
      </c>
      <c r="EU124" s="20" t="str">
        <f>IF(VLOOKUP(BK124,Fundamentus!A:U,12,FALSE)&lt;2,"Subvalorizada",IF(VLOOKUP(BK124,Fundamentus!A:U,12,FALSE)&lt;6,"Muita barata",IF(VLOOKUP(BK124,Fundamentus!A:U,12,FALSE)&lt;6,"Barata",IF(VLOOKUP(BK124,Fundamentus!A:U,12,FALSE)&lt;8,"Atrativa",IF(VLOOKUP(BK124,Fundamentus!A:U,12,FALSE)&gt;8,"Supervalorizada","n/a")))))</f>
        <v>Atrativa</v>
      </c>
      <c r="EW124" s="20" t="str">
        <f>IF(VLOOKUP(BK124,Fundamentus!A:U,17,FALSE)&lt;0.1,"Fraco retorno",IF(VLOOKUP(BK124,Fundamentus!A:U,17,FALSE)&gt;0.1,"Bom retorno","n/a"))</f>
        <v>Bom retorno</v>
      </c>
      <c r="EX124" s="20" t="str">
        <f>IF(VLOOKUP(BK124,Fundamentus!A:U,16,FALSE)&lt;0.1,"Ineficiente",IF(VLOOKUP(BK124,Fundamentus!A:U,16,FALSE)&gt;0.1,"Eficiente","n/a"))</f>
        <v>Ineficiente</v>
      </c>
      <c r="EY124" s="41" t="str">
        <f>IF(VLOOKUP(BK124,Fundamentus!A:U,16,FALSE)&lt;0.1,"Oper. Ineficiente",IF(VLOOKUP(BK124,Fundamentus!A:U,16,FALSE)&gt;0.1,"Oper.Eficiente","n/a"))</f>
        <v>Oper. Ineficiente</v>
      </c>
      <c r="EZ124" s="42">
        <f>VLOOKUP(BK124,Fundamentus!A:U,14,FALSE)</f>
        <v>0.34129999999999999</v>
      </c>
      <c r="FA124" s="20" t="str">
        <f>IF(VLOOKUP(BK124,Fundamentus!A:U,21,FALSE)&lt;0,"Negativo",IF(VLOOKUP(BK124,Fundamentus!A:U,21,FALSE)&lt;0.05,"Fraco",IF(VLOOKUP(BK124,Fundamentus!A:U,21,FALSE)&lt;0.1,"Bom",IF(VLOOKUP(BK124,Fundamentus!A:U,21,FALSE)&gt;0.1,"Muito bom","n/a"))))</f>
        <v>Bom</v>
      </c>
      <c r="FC124" s="37" t="str">
        <f>IF(VLOOKUP(BK124,Fundamentus!A:U,15,FALSE)&gt;1,"Bom",IF(VLOOKUP(BK124,Fundamentus!A:U,15,FALSE)&lt;1,"Ruim","n/a"))</f>
        <v>Bom</v>
      </c>
      <c r="FD124" s="20" t="str">
        <f>IF(VLOOKUP(BK124,Fundamentus!A:U,20,FALSE)&lt;0.5,"Baixa",IF(VLOOKUP(BK124,Fundamentus!A:U,20,FALSE)&lt;1,"Moderada",IF(VLOOKUP(BK124,Fundamentus!A:U,20,FALSE)&lt;2,"Alerta",IF(VLOOKUP(BK124,Fundamentus!A:U,20,FALSE)&gt;2,"Alta","n/a"))))</f>
        <v>Moderada</v>
      </c>
      <c r="FE124" s="10">
        <v>3</v>
      </c>
    </row>
    <row r="125" spans="1:161" s="2" customFormat="1" ht="11.25" hidden="1"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8">
        <v>9.2899999999999991</v>
      </c>
      <c r="BC125" s="62">
        <v>10.36</v>
      </c>
      <c r="BD125" s="62">
        <v>10.31</v>
      </c>
      <c r="BE125" s="62">
        <v>10.47</v>
      </c>
      <c r="BF125" s="62">
        <v>10.54</v>
      </c>
      <c r="BG125" s="81">
        <v>10.24</v>
      </c>
      <c r="BH125" s="62">
        <v>10.5</v>
      </c>
      <c r="BI125" s="62">
        <v>10.87</v>
      </c>
      <c r="BJ125" s="62" cm="1">
        <f t="array" aca="1" ref="BJ125" ca="1">_FV(EH125,"Preço")</f>
        <v>11.06</v>
      </c>
      <c r="BK125" s="83" t="s">
        <v>121</v>
      </c>
      <c r="BL125" s="44" cm="1">
        <f t="array" aca="1" ref="BL125" ca="1">_FV(EH125,"Média de volume",TRUE)</f>
        <v>6606120</v>
      </c>
      <c r="BM125" s="44">
        <v>7715000</v>
      </c>
      <c r="BN125" s="44" cm="1">
        <f t="array" aca="1" ref="BN125" ca="1">_FV(EH125,"Volume")</f>
        <v>2701700</v>
      </c>
      <c r="BO125" s="32" cm="1">
        <f t="array" aca="1" ref="BO125" ca="1">_FV(EH125,"Beta")</f>
        <v>1.1861999999999999</v>
      </c>
      <c r="BP125" s="86" cm="1">
        <f t="array" aca="1" ref="BP125" ca="1">_FV(EH125,"Variação (%)",TRUE)</f>
        <v>1.7479000000000001E-2</v>
      </c>
      <c r="BQ125" s="48"/>
      <c r="BR125" s="48"/>
      <c r="BT125" s="20" cm="1">
        <f t="array" aca="1" ref="BT125" ca="1">_FV(EH125,"Baixo")</f>
        <v>10.82</v>
      </c>
      <c r="BU125" s="20" cm="1">
        <f t="array" aca="1" ref="BU125" ca="1">_FV(EH125,"Alto")</f>
        <v>11.15</v>
      </c>
      <c r="BV125" s="32"/>
      <c r="BW125" s="73" t="e">
        <f ca="1">SQRT(22.5*(BJ125/VLOOKUP(BK125,Fundamentus!A:U,3,FALSE))*(BJ125/VLOOKUP(BK125,Fundamentus!A:U,4,FALSE)))</f>
        <v>#NUM!</v>
      </c>
      <c r="BY125" s="72">
        <f t="shared" ca="1" si="90"/>
        <v>1.7479300827967E-2</v>
      </c>
      <c r="BZ125" s="8"/>
      <c r="CA125" s="71">
        <f t="shared" si="98"/>
        <v>9.15</v>
      </c>
      <c r="CB125" s="71">
        <f t="shared" si="91"/>
        <v>17.21</v>
      </c>
      <c r="CC125" s="71">
        <f t="shared" si="99"/>
        <v>13.13450819672131</v>
      </c>
      <c r="CD125" s="17"/>
      <c r="CE125" s="43">
        <f t="shared" si="96"/>
        <v>10.402255653302044</v>
      </c>
      <c r="CF125" s="18">
        <f>FORECAST("04/07/2025", BF125:BI125, $BF$5:$BI$5)</f>
        <v>10.850000000000023</v>
      </c>
      <c r="CG125" s="43">
        <f t="shared" si="97"/>
        <v>11.297744346698002</v>
      </c>
      <c r="CI125" s="17"/>
      <c r="CJ125" s="20">
        <f>CA125-2*(CB125-CM125)</f>
        <v>-0.45000000000000462</v>
      </c>
      <c r="CK125" s="20">
        <f>CM125-(CB125-CA125)</f>
        <v>4.3499999999999979</v>
      </c>
      <c r="CL125" s="20">
        <f>2*CM125-CB125</f>
        <v>7.6099999999999959</v>
      </c>
      <c r="CM125" s="48">
        <f>(CB125+CA125+BI125)/3</f>
        <v>12.409999999999998</v>
      </c>
      <c r="CN125" s="20">
        <f>2*CM125-CA125</f>
        <v>15.669999999999996</v>
      </c>
      <c r="CO125" s="20">
        <f>CM125+(CB125-CA125)</f>
        <v>20.47</v>
      </c>
      <c r="CP125" s="20">
        <f>CB125+2*(CM125-CA125)</f>
        <v>23.729999999999997</v>
      </c>
      <c r="CQ125" s="2" cm="1">
        <f t="array" aca="1" ref="CQ125" ca="1">MAX(_xlfn._xlws.FILTER(CJ125:CP125,CJ125:CP125&lt;BJ125))</f>
        <v>7.6099999999999959</v>
      </c>
      <c r="CR125" s="2" cm="1">
        <f t="array" aca="1" ref="CR125" ca="1">MIN(_xlfn._xlws.FILTER($CJ125:$CP125,$CJ125:$CP125&gt;BJ125))</f>
        <v>12.409999999999998</v>
      </c>
      <c r="CS125" s="19">
        <f t="shared" ca="1" si="117"/>
        <v>0.63074901445466569</v>
      </c>
      <c r="CT125" s="23">
        <f t="shared" ca="1" si="118"/>
        <v>-0.31537450722733285</v>
      </c>
      <c r="CU125" s="23">
        <f t="shared" ca="1" si="119"/>
        <v>-0.21024967148488857</v>
      </c>
      <c r="CV125" s="23">
        <f t="shared" ca="1" si="120"/>
        <v>-0.12614980289093314</v>
      </c>
      <c r="CW125" s="23">
        <f t="shared" ca="1" si="121"/>
        <v>-7.0083223828296182E-2</v>
      </c>
      <c r="CX125" s="23">
        <f t="shared" ca="1" si="122"/>
        <v>-3.7102883203215628E-2</v>
      </c>
      <c r="CY125" s="23">
        <f t="shared" ca="1" si="123"/>
        <v>-1.9113606498626232E-2</v>
      </c>
      <c r="CZ125" s="23">
        <f t="shared" ca="1" si="124"/>
        <v>-9.7038309916102419E-3</v>
      </c>
      <c r="DA125" s="24">
        <f t="shared" ca="1" si="125"/>
        <v>9.7038309916102419E-3</v>
      </c>
      <c r="DB125" s="24">
        <f t="shared" ca="1" si="126"/>
        <v>1.9113606498626232E-2</v>
      </c>
      <c r="DC125" s="24">
        <f t="shared" ca="1" si="127"/>
        <v>3.7102883203215628E-2</v>
      </c>
      <c r="DD125" s="24">
        <f t="shared" ca="1" si="128"/>
        <v>7.0083223828296182E-2</v>
      </c>
      <c r="DE125" s="24">
        <f t="shared" ca="1" si="129"/>
        <v>0.12614980289093314</v>
      </c>
      <c r="DF125" s="24">
        <f t="shared" ca="1" si="130"/>
        <v>0.21024967148488857</v>
      </c>
      <c r="DG125" s="24">
        <f t="shared" ca="1" si="131"/>
        <v>0.31537450722733285</v>
      </c>
      <c r="DI125" s="19" cm="1">
        <f t="array" aca="1" ref="DI125" ca="1">MAX(_xlfn._xlws.FILTER(CT125:DG125,CT125:DG125&lt;BP125))</f>
        <v>9.7038309916102419E-3</v>
      </c>
      <c r="DJ125" s="19" cm="1">
        <f t="array" aca="1" ref="DJ125" ca="1">MIN(_xlfn._xlws.FILTER(CT125:DG125,CT125:DG125&gt;BP125))</f>
        <v>1.9113606498626232E-2</v>
      </c>
      <c r="DK125" s="2" cm="1">
        <f t="array" aca="1" ref="DK125" ca="1">_FV(EH125,"Fechamento anterior",TRUE)</f>
        <v>10.87</v>
      </c>
      <c r="DL125" s="36">
        <f ca="1">(BJ125-DM125)/(DN125-DM125)</f>
        <v>0.82631831445493642</v>
      </c>
      <c r="DM125" s="18">
        <f t="shared" ca="1" si="132"/>
        <v>10.975480642878802</v>
      </c>
      <c r="DN125" s="18">
        <f t="shared" ca="1" si="133"/>
        <v>11.077764902640066</v>
      </c>
      <c r="DO125" s="9"/>
      <c r="DP125" s="9"/>
      <c r="DQ125" s="94">
        <v>2.5545171339563865E-2</v>
      </c>
      <c r="DR125" s="94">
        <v>2.5545171339563865E-2</v>
      </c>
      <c r="DS125" s="94">
        <v>2.1440034235583608E-2</v>
      </c>
      <c r="DT125" s="94">
        <f t="shared" ca="1" si="92"/>
        <v>9.4097755070159904E-3</v>
      </c>
      <c r="DU125" s="87">
        <f ca="1">(BJ125-CF125)/(CF125-CE125)</f>
        <v>0.46901764712091604</v>
      </c>
      <c r="DV125" s="46"/>
      <c r="DW125" s="43">
        <f>_xlfn.STDEV.P(BF125:BI125)</f>
        <v>0.22387217334898912</v>
      </c>
      <c r="DX125" s="76">
        <f ca="1">BO125-$DT$2</f>
        <v>0.18909999999999982</v>
      </c>
      <c r="DY125" s="76">
        <f ca="1">BO125-BP125*100</f>
        <v>-0.56170000000000031</v>
      </c>
      <c r="DZ125" s="101"/>
      <c r="EA125" s="100">
        <v>0.48899999999999999</v>
      </c>
      <c r="EB125" s="107">
        <v>0.95700000000000007</v>
      </c>
      <c r="EC125" s="107">
        <v>-0.91100000000000025</v>
      </c>
      <c r="ED125" s="98">
        <f t="shared" ca="1" si="93"/>
        <v>0.75080000000000013</v>
      </c>
      <c r="EE125" s="66"/>
      <c r="EF125" s="66"/>
      <c r="EH125" s="2" t="e" vm="124">
        <v>#VALUE!</v>
      </c>
      <c r="EJ125" s="10" cm="1">
        <f t="array" aca="1" ref="EJ125" ca="1">_FV(EH125,"Ações em circulação",TRUE)</f>
        <v>1374118000</v>
      </c>
      <c r="EK125" s="21">
        <f>VLOOKUP(BK125,Fundamentus!A:U,5,FALSE)</f>
        <v>0.57699999999999996</v>
      </c>
      <c r="EL125" s="2">
        <f ca="1">(BJ125*EJ125)/EK125</f>
        <v>26339246239.168114</v>
      </c>
      <c r="EM125" s="20">
        <v>-8550398053.0294619</v>
      </c>
      <c r="EN125" s="20">
        <f t="shared" ca="1" si="94"/>
        <v>-8699853032.7972279</v>
      </c>
      <c r="EP125" s="19">
        <f t="shared" ca="1" si="89"/>
        <v>1.7479300827967004E-2</v>
      </c>
      <c r="EQ125" s="40" t="str">
        <f>IF(VLOOKUP(BK125,Fundamentus!A:U,3,FALSE)&lt;15,"Bom",IF(VLOOKUP(BK125,Fundamentus!A:U,3,FALSE)&gt;15,"Ruim","n/a"))</f>
        <v>Bom</v>
      </c>
      <c r="ER125" s="36" t="str">
        <f>IF(VLOOKUP(BK125,Fundamentus!A:U,4,FALSE)&lt;1,"Baixo",IF(VLOOKUP(BK125,Fundamentus!A:U,4,FALSE)&lt;1.5,"Moderado",IF(VLOOKUP(BK125,Fundamentus!A:U,4,FALSE)&gt;1.5,"Alto","n/a")))</f>
        <v>Baixo</v>
      </c>
      <c r="ES125" s="20" t="str">
        <f>IF(VLOOKUP(BK125,Fundamentus!A:U,8,FALSE)&lt;0,"Risco elevado",IF(VLOOKUP(BK125,Fundamentus!A:U,8,FALSE)&lt;1,"Saudável",IF(VLOOKUP(BK125,Fundamentus!A:U,8,FALSE)&lt;3,"Estável",IF(VLOOKUP(BK125,Fundamentus!A:U,8,FALSE)&gt;3,"Alerta","n/a"))))</f>
        <v>Estável</v>
      </c>
      <c r="ET125" s="36" t="str">
        <f t="shared" si="95"/>
        <v>Ruim</v>
      </c>
      <c r="EU125" s="20" t="str">
        <f>IF(VLOOKUP(BK125,Fundamentus!A:U,12,FALSE)&lt;2,"Subvalorizada",IF(VLOOKUP(BK125,Fundamentus!A:U,12,FALSE)&lt;6,"Muita barata",IF(VLOOKUP(BK125,Fundamentus!A:U,12,FALSE)&lt;6,"Barata",IF(VLOOKUP(BK125,Fundamentus!A:U,12,FALSE)&lt;8,"Atrativa",IF(VLOOKUP(BK125,Fundamentus!A:U,12,FALSE)&gt;8,"Supervalorizada","n/a")))))</f>
        <v>Muita barata</v>
      </c>
      <c r="EW125" s="20" t="str">
        <f>IF(VLOOKUP(BK125,Fundamentus!A:U,17,FALSE)&lt;0.1,"Fraco retorno",IF(VLOOKUP(BK125,Fundamentus!A:U,17,FALSE)&gt;0.1,"Bom retorno","n/a"))</f>
        <v>Fraco retorno</v>
      </c>
      <c r="EX125" s="20" t="str">
        <f>IF(VLOOKUP(BK125,Fundamentus!A:U,16,FALSE)&lt;0.1,"Ineficiente",IF(VLOOKUP(BK125,Fundamentus!A:U,16,FALSE)&gt;0.1,"Eficiente","n/a"))</f>
        <v>Ineficiente</v>
      </c>
      <c r="EY125" s="41" t="str">
        <f>IF(VLOOKUP(BK125,Fundamentus!A:U,16,FALSE)&lt;0.1,"Oper. Ineficiente",IF(VLOOKUP(BK125,Fundamentus!A:U,16,FALSE)&gt;0.1,"Oper.Eficiente","n/a"))</f>
        <v>Oper. Ineficiente</v>
      </c>
      <c r="EZ125" s="42">
        <f>VLOOKUP(BK125,Fundamentus!A:U,14,FALSE)</f>
        <v>-0.33029999999999998</v>
      </c>
      <c r="FA125" s="20" t="str">
        <f>IF(VLOOKUP(BK125,Fundamentus!A:U,21,FALSE)&lt;0,"Negativo",IF(VLOOKUP(BK125,Fundamentus!A:U,21,FALSE)&lt;0.05,"Fraco",IF(VLOOKUP(BK125,Fundamentus!A:U,21,FALSE)&lt;0.1,"Bom",IF(VLOOKUP(BK125,Fundamentus!A:U,21,FALSE)&gt;0.1,"Muito bom","n/a"))))</f>
        <v>Negativo</v>
      </c>
      <c r="FC125" s="37" t="str">
        <f>IF(VLOOKUP(BK125,Fundamentus!A:U,15,FALSE)&gt;1,"Bom",IF(VLOOKUP(BK125,Fundamentus!A:U,15,FALSE)&lt;1,"Ruim","n/a"))</f>
        <v>Bom</v>
      </c>
      <c r="FD125" s="20" t="str">
        <f>IF(VLOOKUP(BK125,Fundamentus!A:U,20,FALSE)&lt;0.5,"Baixa",IF(VLOOKUP(BK125,Fundamentus!A:U,20,FALSE)&lt;1,"Moderada",IF(VLOOKUP(BK125,Fundamentus!A:U,20,FALSE)&lt;2,"Alerta",IF(VLOOKUP(BK125,Fundamentus!A:U,20,FALSE)&gt;2,"Alta","n/a"))))</f>
        <v>Baixa</v>
      </c>
      <c r="FE125" s="10"/>
    </row>
    <row r="126" spans="1:161" s="2" customFormat="1" ht="11.25" hidden="1"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8">
        <v>5.97</v>
      </c>
      <c r="BC126" s="62">
        <v>6.36</v>
      </c>
      <c r="BD126" s="62">
        <v>6.6</v>
      </c>
      <c r="BE126" s="62">
        <v>7.19</v>
      </c>
      <c r="BF126" s="62">
        <v>7.49</v>
      </c>
      <c r="BG126" s="81">
        <v>7.11</v>
      </c>
      <c r="BH126" s="62">
        <v>7.33</v>
      </c>
      <c r="BI126" s="62">
        <v>7.34</v>
      </c>
      <c r="BJ126" s="62" cm="1">
        <f t="array" aca="1" ref="BJ126" ca="1">_FV(EH126,"Preço")</f>
        <v>7.4</v>
      </c>
      <c r="BK126" s="83" t="s">
        <v>122</v>
      </c>
      <c r="BL126" s="44" cm="1">
        <f t="array" aca="1" ref="BL126" ca="1">_FV(EH126,"Média de volume",TRUE)</f>
        <v>354370</v>
      </c>
      <c r="BM126" s="44">
        <v>240900</v>
      </c>
      <c r="BN126" s="44" cm="1">
        <f t="array" aca="1" ref="BN126" ca="1">_FV(EH126,"Volume")</f>
        <v>174600</v>
      </c>
      <c r="BO126" s="32" cm="1">
        <f t="array" aca="1" ref="BO126" ca="1">_FV(EH126,"Beta")</f>
        <v>1.5604</v>
      </c>
      <c r="BP126" s="86" cm="1">
        <f t="array" aca="1" ref="BP126" ca="1">_FV(EH126,"Variação (%)",TRUE)</f>
        <v>8.1740000000000007E-3</v>
      </c>
      <c r="BQ126" s="48"/>
      <c r="BR126" s="48"/>
      <c r="BT126" s="20" cm="1">
        <f t="array" aca="1" ref="BT126" ca="1">_FV(EH126,"Baixo")</f>
        <v>7.29</v>
      </c>
      <c r="BU126" s="20" cm="1">
        <f t="array" aca="1" ref="BU126" ca="1">_FV(EH126,"Alto")</f>
        <v>7.46</v>
      </c>
      <c r="BV126" s="32"/>
      <c r="BW126" s="73">
        <f ca="1">SQRT(22.5*(BJ126/VLOOKUP(BK126,Fundamentus!A:U,3,FALSE))*(BJ126/VLOOKUP(BK126,Fundamentus!A:U,4,FALSE)))</f>
        <v>5.9916900495894856</v>
      </c>
      <c r="BY126" s="72">
        <f t="shared" ca="1" si="90"/>
        <v>8.1743869209809951E-3</v>
      </c>
      <c r="BZ126" s="8"/>
      <c r="CA126" s="71">
        <f t="shared" si="98"/>
        <v>5.35</v>
      </c>
      <c r="CB126" s="71">
        <f t="shared" si="91"/>
        <v>7.49</v>
      </c>
      <c r="CC126" s="71">
        <f t="shared" si="99"/>
        <v>6.2759016393442622</v>
      </c>
      <c r="CD126" s="17"/>
      <c r="CE126" s="43">
        <f t="shared" si="96"/>
        <v>6.9889372766313951</v>
      </c>
      <c r="CF126" s="18">
        <f>FORECAST("04/07/2025", BF126:BI126, $BF$5:$BI$5)</f>
        <v>7.2599999999999909</v>
      </c>
      <c r="CG126" s="43">
        <f t="shared" si="97"/>
        <v>7.5310627233685867</v>
      </c>
      <c r="CI126" s="17"/>
      <c r="CJ126" s="20">
        <f>CA126-2*(CB126-CM126)</f>
        <v>3.8233333333333324</v>
      </c>
      <c r="CK126" s="20">
        <f>CM126-(CB126-CA126)</f>
        <v>4.586666666666666</v>
      </c>
      <c r="CL126" s="20">
        <f>2*CM126-CB126</f>
        <v>5.9633333333333329</v>
      </c>
      <c r="CM126" s="48">
        <f>(CB126+CA126+BI126)/3</f>
        <v>6.7266666666666666</v>
      </c>
      <c r="CN126" s="20">
        <f>2*CM126-CA126</f>
        <v>8.1033333333333335</v>
      </c>
      <c r="CO126" s="20">
        <f>CM126+(CB126-CA126)</f>
        <v>8.8666666666666671</v>
      </c>
      <c r="CP126" s="20">
        <f>CB126+2*(CM126-CA126)</f>
        <v>10.243333333333334</v>
      </c>
      <c r="CQ126" s="2" cm="1">
        <f t="array" aca="1" ref="CQ126" ca="1">MAX(_xlfn._xlws.FILTER(CJ126:CP126,CJ126:CP126&lt;BJ126))</f>
        <v>6.7266666666666666</v>
      </c>
      <c r="CR126" s="2" cm="1">
        <f t="array" aca="1" ref="CR126" ca="1">MIN(_xlfn._xlws.FILTER($CJ126:$CP126,$CJ126:$CP126&gt;BJ126))</f>
        <v>8.1033333333333335</v>
      </c>
      <c r="CS126" s="19">
        <f t="shared" ca="1" si="117"/>
        <v>0.20465807730426167</v>
      </c>
      <c r="CT126" s="23">
        <f t="shared" ca="1" si="118"/>
        <v>-0.10232903865213083</v>
      </c>
      <c r="CU126" s="23">
        <f t="shared" ca="1" si="119"/>
        <v>-6.821935910142056E-2</v>
      </c>
      <c r="CV126" s="23">
        <f t="shared" ca="1" si="120"/>
        <v>-4.0931615460852333E-2</v>
      </c>
      <c r="CW126" s="23">
        <f t="shared" ca="1" si="121"/>
        <v>-2.2739786367140184E-2</v>
      </c>
      <c r="CX126" s="23">
        <f t="shared" ca="1" si="122"/>
        <v>-1.2038710429662451E-2</v>
      </c>
      <c r="CY126" s="23">
        <f t="shared" ca="1" si="123"/>
        <v>-6.2017599183109597E-3</v>
      </c>
      <c r="CZ126" s="23">
        <f t="shared" ca="1" si="124"/>
        <v>-3.1485858046809488E-3</v>
      </c>
      <c r="DA126" s="24">
        <f t="shared" ca="1" si="125"/>
        <v>3.1485858046809488E-3</v>
      </c>
      <c r="DB126" s="24">
        <f t="shared" ca="1" si="126"/>
        <v>6.2017599183109597E-3</v>
      </c>
      <c r="DC126" s="24">
        <f t="shared" ca="1" si="127"/>
        <v>1.2038710429662451E-2</v>
      </c>
      <c r="DD126" s="24">
        <f t="shared" ca="1" si="128"/>
        <v>2.2739786367140184E-2</v>
      </c>
      <c r="DE126" s="24">
        <f t="shared" ca="1" si="129"/>
        <v>4.0931615460852333E-2</v>
      </c>
      <c r="DF126" s="24">
        <f t="shared" ca="1" si="130"/>
        <v>6.821935910142056E-2</v>
      </c>
      <c r="DG126" s="24">
        <f t="shared" ca="1" si="131"/>
        <v>0.10232903865213083</v>
      </c>
      <c r="DI126" s="19" cm="1">
        <f t="array" aca="1" ref="DI126" ca="1">MAX(_xlfn._xlws.FILTER(CT126:DG126,CT126:DG126&lt;BP126))</f>
        <v>6.2017599183109597E-3</v>
      </c>
      <c r="DJ126" s="19" cm="1">
        <f t="array" aca="1" ref="DJ126" ca="1">MIN(_xlfn._xlws.FILTER(CT126:DG126,CT126:DG126&gt;BP126))</f>
        <v>1.2038710429662451E-2</v>
      </c>
      <c r="DK126" s="2" cm="1">
        <f t="array" aca="1" ref="DK126" ca="1">_FV(EH126,"Fechamento anterior",TRUE)</f>
        <v>7.34</v>
      </c>
      <c r="DL126" s="36">
        <f ca="1">(BJ126-DM126)/(DN126-DM126)</f>
        <v>0.33795506726221758</v>
      </c>
      <c r="DM126" s="18">
        <f t="shared" ca="1" si="132"/>
        <v>7.3855209178004024</v>
      </c>
      <c r="DN126" s="18">
        <f t="shared" ca="1" si="133"/>
        <v>7.4283641345537221</v>
      </c>
      <c r="DO126" s="9"/>
      <c r="DP126" s="9"/>
      <c r="DQ126" s="94">
        <v>5.4830551884934731E-3</v>
      </c>
      <c r="DR126" s="94">
        <v>1.7626817626817629E-2</v>
      </c>
      <c r="DS126" s="94">
        <v>1.0221632512654177E-2</v>
      </c>
      <c r="DT126" s="94">
        <f t="shared" ca="1" si="92"/>
        <v>5.8369505113514911E-3</v>
      </c>
      <c r="DU126" s="87">
        <f ca="1">(BJ126-CF126)/(CF126-CE126)</f>
        <v>0.51648562465608749</v>
      </c>
      <c r="DV126" s="46"/>
      <c r="DW126" s="43">
        <f>_xlfn.STDEV.P(BF126:BI126)</f>
        <v>0.13553136168429794</v>
      </c>
      <c r="DX126" s="76">
        <f ca="1">BO126-$DT$2</f>
        <v>0.56329999999999991</v>
      </c>
      <c r="DY126" s="76">
        <f ca="1">BO126-BP126*100</f>
        <v>0.74299999999999988</v>
      </c>
      <c r="DZ126" s="101"/>
      <c r="EA126" s="100">
        <v>0.57609999999999983</v>
      </c>
      <c r="EB126" s="107">
        <v>2.625</v>
      </c>
      <c r="EC126" s="107">
        <v>-0.3611000000000002</v>
      </c>
      <c r="ED126" s="98">
        <f t="shared" ca="1" si="93"/>
        <v>-0.17969999999999997</v>
      </c>
      <c r="EE126" s="66"/>
      <c r="EF126" s="66"/>
      <c r="EH126" s="2" t="e" vm="125">
        <v>#VALUE!</v>
      </c>
      <c r="EJ126" s="10" cm="1">
        <f t="array" aca="1" ref="EJ126" ca="1">_FV(EH126,"Ações em circulação",TRUE)</f>
        <v>200000000</v>
      </c>
      <c r="EK126" s="21">
        <f>VLOOKUP(BK126,Fundamentus!A:U,5,FALSE)</f>
        <v>0.77100000000000002</v>
      </c>
      <c r="EL126" s="2">
        <f ca="1">(BJ126*EJ126)/EK126</f>
        <v>1919584954.6044097</v>
      </c>
      <c r="EM126" s="20">
        <v>107577172.50324254</v>
      </c>
      <c r="EN126" s="20">
        <f t="shared" ca="1" si="94"/>
        <v>108456549.93514915</v>
      </c>
      <c r="EP126" s="19">
        <f t="shared" ca="1" si="89"/>
        <v>8.1743869209809361E-3</v>
      </c>
      <c r="EQ126" s="40" t="str">
        <f>IF(VLOOKUP(BK126,Fundamentus!A:U,3,FALSE)&lt;15,"Bom",IF(VLOOKUP(BK126,Fundamentus!A:U,3,FALSE)&gt;15,"Ruim","n/a"))</f>
        <v>Ruim</v>
      </c>
      <c r="ER126" s="36" t="str">
        <f>IF(VLOOKUP(BK126,Fundamentus!A:U,4,FALSE)&lt;1,"Baixo",IF(VLOOKUP(BK126,Fundamentus!A:U,4,FALSE)&lt;1.5,"Moderado",IF(VLOOKUP(BK126,Fundamentus!A:U,4,FALSE)&gt;1.5,"Alto","n/a")))</f>
        <v>Baixo</v>
      </c>
      <c r="ES126" s="20" t="str">
        <f>IF(VLOOKUP(BK126,Fundamentus!A:U,8,FALSE)&lt;0,"Risco elevado",IF(VLOOKUP(BK126,Fundamentus!A:U,8,FALSE)&lt;1,"Saudável",IF(VLOOKUP(BK126,Fundamentus!A:U,8,FALSE)&lt;3,"Estável",IF(VLOOKUP(BK126,Fundamentus!A:U,8,FALSE)&gt;3,"Alerta","n/a"))))</f>
        <v>Saudável</v>
      </c>
      <c r="ET126" s="36" t="str">
        <f t="shared" si="95"/>
        <v>Ruim</v>
      </c>
      <c r="EU126" s="20" t="str">
        <f>IF(VLOOKUP(BK126,Fundamentus!A:U,12,FALSE)&lt;2,"Subvalorizada",IF(VLOOKUP(BK126,Fundamentus!A:U,12,FALSE)&lt;6,"Muita barata",IF(VLOOKUP(BK126,Fundamentus!A:U,12,FALSE)&lt;6,"Barata",IF(VLOOKUP(BK126,Fundamentus!A:U,12,FALSE)&lt;8,"Atrativa",IF(VLOOKUP(BK126,Fundamentus!A:U,12,FALSE)&gt;8,"Supervalorizada","n/a")))))</f>
        <v>Muita barata</v>
      </c>
      <c r="EW126" s="20" t="str">
        <f>IF(VLOOKUP(BK126,Fundamentus!A:U,17,FALSE)&lt;0.1,"Fraco retorno",IF(VLOOKUP(BK126,Fundamentus!A:U,17,FALSE)&gt;0.1,"Bom retorno","n/a"))</f>
        <v>Fraco retorno</v>
      </c>
      <c r="EX126" s="20" t="str">
        <f>IF(VLOOKUP(BK126,Fundamentus!A:U,16,FALSE)&lt;0.1,"Ineficiente",IF(VLOOKUP(BK126,Fundamentus!A:U,16,FALSE)&gt;0.1,"Eficiente","n/a"))</f>
        <v>Ineficiente</v>
      </c>
      <c r="EY126" s="41" t="str">
        <f>IF(VLOOKUP(BK126,Fundamentus!A:U,16,FALSE)&lt;0.1,"Oper. Ineficiente",IF(VLOOKUP(BK126,Fundamentus!A:U,16,FALSE)&gt;0.1,"Oper.Eficiente","n/a"))</f>
        <v>Oper. Ineficiente</v>
      </c>
      <c r="EZ126" s="42">
        <f>VLOOKUP(BK126,Fundamentus!A:U,14,FALSE)</f>
        <v>5.6500000000000002E-2</v>
      </c>
      <c r="FA126" s="20" t="str">
        <f>IF(VLOOKUP(BK126,Fundamentus!A:U,21,FALSE)&lt;0,"Negativo",IF(VLOOKUP(BK126,Fundamentus!A:U,21,FALSE)&lt;0.05,"Fraco",IF(VLOOKUP(BK126,Fundamentus!A:U,21,FALSE)&lt;0.1,"Bom",IF(VLOOKUP(BK126,Fundamentus!A:U,21,FALSE)&gt;0.1,"Muito bom","n/a"))))</f>
        <v>Fraco</v>
      </c>
      <c r="FC126" s="37" t="str">
        <f>IF(VLOOKUP(BK126,Fundamentus!A:U,15,FALSE)&gt;1,"Bom",IF(VLOOKUP(BK126,Fundamentus!A:U,15,FALSE)&lt;1,"Ruim","n/a"))</f>
        <v>Bom</v>
      </c>
      <c r="FD126" s="20" t="str">
        <f>IF(VLOOKUP(BK126,Fundamentus!A:U,20,FALSE)&lt;0.5,"Baixa",IF(VLOOKUP(BK126,Fundamentus!A:U,20,FALSE)&lt;1,"Moderada",IF(VLOOKUP(BK126,Fundamentus!A:U,20,FALSE)&lt;2,"Alerta",IF(VLOOKUP(BK126,Fundamentus!A:U,20,FALSE)&gt;2,"Alta","n/a"))))</f>
        <v>Moderada</v>
      </c>
      <c r="FE126" s="10"/>
    </row>
    <row r="127" spans="1:161" s="2" customFormat="1" ht="11.25" hidden="1"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8">
        <v>31.3</v>
      </c>
      <c r="BC127" s="62">
        <v>33.39</v>
      </c>
      <c r="BD127" s="62">
        <v>33.299999999999997</v>
      </c>
      <c r="BE127" s="62">
        <v>33.369999999999997</v>
      </c>
      <c r="BF127" s="62">
        <v>32.51</v>
      </c>
      <c r="BG127" s="81">
        <v>32.229999999999997</v>
      </c>
      <c r="BH127" s="62">
        <v>32.49</v>
      </c>
      <c r="BI127" s="62">
        <v>32.26</v>
      </c>
      <c r="BJ127" s="62" cm="1">
        <f t="array" aca="1" ref="BJ127" ca="1">_FV(EH127,"Preço")</f>
        <v>32.67</v>
      </c>
      <c r="BK127" s="83" t="s">
        <v>62</v>
      </c>
      <c r="BL127" s="44" cm="1">
        <f t="array" aca="1" ref="BL127" ca="1">_FV(EH127,"Média de volume",TRUE)</f>
        <v>18297220</v>
      </c>
      <c r="BM127" s="44">
        <v>333400</v>
      </c>
      <c r="BN127" s="44" cm="1">
        <f t="array" aca="1" ref="BN127" ca="1">_FV(EH127,"Volume")</f>
        <v>289500</v>
      </c>
      <c r="BO127" s="32" cm="1">
        <f t="array" aca="1" ref="BO127" ca="1">_FV(EH127,"Beta")</f>
        <v>1.2446999999999999</v>
      </c>
      <c r="BP127" s="86" cm="1">
        <f t="array" aca="1" ref="BP127" ca="1">_FV(EH127,"Variação (%)",TRUE)</f>
        <v>1.2709E-2</v>
      </c>
      <c r="BQ127" s="48"/>
      <c r="BR127" s="48"/>
      <c r="BT127" s="20" cm="1">
        <f t="array" aca="1" ref="BT127" ca="1">_FV(EH127,"Baixo")</f>
        <v>32.1</v>
      </c>
      <c r="BU127" s="20" cm="1">
        <f t="array" aca="1" ref="BU127" ca="1">_FV(EH127,"Alto")</f>
        <v>32.799999999999997</v>
      </c>
      <c r="BV127" s="32"/>
      <c r="BW127" s="73">
        <f ca="1">SQRT(22.5*(BJ127/VLOOKUP(BK127,Fundamentus!A:U,3,FALSE))*(BJ127/VLOOKUP(BK127,Fundamentus!A:U,4,FALSE)))</f>
        <v>38.979254277030101</v>
      </c>
      <c r="BY127" s="72">
        <f t="shared" ca="1" si="90"/>
        <v>1.270923744575337E-2</v>
      </c>
      <c r="BZ127" s="8"/>
      <c r="CA127" s="71">
        <f t="shared" si="98"/>
        <v>26.39</v>
      </c>
      <c r="CB127" s="71">
        <f t="shared" si="91"/>
        <v>33.39</v>
      </c>
      <c r="CC127" s="71">
        <f t="shared" si="99"/>
        <v>29.646967213114742</v>
      </c>
      <c r="CD127" s="17"/>
      <c r="CE127" s="43">
        <f t="shared" si="96"/>
        <v>31.993728659425209</v>
      </c>
      <c r="CF127" s="18">
        <f>FORECAST("04/07/2025", BF127:BI127, $BF$5:$BI$5)</f>
        <v>32.25</v>
      </c>
      <c r="CG127" s="43">
        <f t="shared" si="97"/>
        <v>32.506271340574791</v>
      </c>
      <c r="CI127" s="17"/>
      <c r="CJ127" s="20">
        <f>CA127-2*(CB127-CM127)</f>
        <v>20.969999999999992</v>
      </c>
      <c r="CK127" s="20">
        <f>CM127-(CB127-CA127)</f>
        <v>23.679999999999996</v>
      </c>
      <c r="CL127" s="20">
        <f>2*CM127-CB127</f>
        <v>27.969999999999992</v>
      </c>
      <c r="CM127" s="48">
        <f>(CB127+CA127+BI127)/3</f>
        <v>30.679999999999996</v>
      </c>
      <c r="CN127" s="20">
        <f>2*CM127-CA127</f>
        <v>34.969999999999992</v>
      </c>
      <c r="CO127" s="20">
        <f>CM127+(CB127-CA127)</f>
        <v>37.679999999999993</v>
      </c>
      <c r="CP127" s="20">
        <f>CB127+2*(CM127-CA127)</f>
        <v>41.969999999999992</v>
      </c>
      <c r="CQ127" s="2" cm="1">
        <f t="array" aca="1" ref="CQ127" ca="1">MAX(_xlfn._xlws.FILTER(CJ127:CP127,CJ127:CP127&lt;BJ127))</f>
        <v>30.679999999999996</v>
      </c>
      <c r="CR127" s="2" cm="1">
        <f t="array" aca="1" ref="CR127" ca="1">MIN(_xlfn._xlws.FILTER($CJ127:$CP127,$CJ127:$CP127&gt;BJ127))</f>
        <v>34.969999999999992</v>
      </c>
      <c r="CS127" s="19">
        <f t="shared" ca="1" si="117"/>
        <v>0.13983050847457612</v>
      </c>
      <c r="CT127" s="23">
        <f t="shared" ca="1" si="118"/>
        <v>-6.991525423728806E-2</v>
      </c>
      <c r="CU127" s="23">
        <f t="shared" ca="1" si="119"/>
        <v>-4.6610169491525376E-2</v>
      </c>
      <c r="CV127" s="23">
        <f t="shared" ca="1" si="120"/>
        <v>-2.7966101694915223E-2</v>
      </c>
      <c r="CW127" s="23">
        <f t="shared" ca="1" si="121"/>
        <v>-1.5536723163841791E-2</v>
      </c>
      <c r="CX127" s="23">
        <f t="shared" ca="1" si="122"/>
        <v>-8.2253240279162431E-3</v>
      </c>
      <c r="CY127" s="23">
        <f t="shared" ca="1" si="123"/>
        <v>-4.237288135593216E-3</v>
      </c>
      <c r="CZ127" s="23">
        <f t="shared" ca="1" si="124"/>
        <v>-2.1512385919165559E-3</v>
      </c>
      <c r="DA127" s="24">
        <f t="shared" ca="1" si="125"/>
        <v>2.1512385919165559E-3</v>
      </c>
      <c r="DB127" s="24">
        <f t="shared" ca="1" si="126"/>
        <v>4.237288135593216E-3</v>
      </c>
      <c r="DC127" s="24">
        <f t="shared" ca="1" si="127"/>
        <v>8.2253240279162431E-3</v>
      </c>
      <c r="DD127" s="24">
        <f t="shared" ca="1" si="128"/>
        <v>1.5536723163841791E-2</v>
      </c>
      <c r="DE127" s="24">
        <f t="shared" ca="1" si="129"/>
        <v>2.7966101694915223E-2</v>
      </c>
      <c r="DF127" s="24">
        <f t="shared" ca="1" si="130"/>
        <v>4.6610169491525376E-2</v>
      </c>
      <c r="DG127" s="24">
        <f t="shared" ca="1" si="131"/>
        <v>6.991525423728806E-2</v>
      </c>
      <c r="DI127" s="19" cm="1">
        <f t="array" aca="1" ref="DI127" ca="1">MAX(_xlfn._xlws.FILTER(CT127:DG127,CT127:DG127&lt;BP127))</f>
        <v>8.2253240279162431E-3</v>
      </c>
      <c r="DJ127" s="19" cm="1">
        <f t="array" aca="1" ref="DJ127" ca="1">MIN(_xlfn._xlws.FILTER(CT127:DG127,CT127:DG127&gt;BP127))</f>
        <v>1.5536723163841791E-2</v>
      </c>
      <c r="DK127" s="2" cm="1">
        <f t="array" aca="1" ref="DK127" ca="1">_FV(EH127,"Fechamento anterior",TRUE)</f>
        <v>32.26</v>
      </c>
      <c r="DL127" s="36">
        <f ca="1">(BJ127-DM127)/(DN127-DM127)</f>
        <v>0.61327706701235063</v>
      </c>
      <c r="DM127" s="18">
        <f t="shared" ca="1" si="132"/>
        <v>32.525348953140579</v>
      </c>
      <c r="DN127" s="18">
        <f t="shared" ca="1" si="133"/>
        <v>32.761214689265536</v>
      </c>
      <c r="DO127" s="9"/>
      <c r="DP127" s="9"/>
      <c r="DQ127" s="94">
        <v>3.9590999433274038E-3</v>
      </c>
      <c r="DR127" s="94">
        <v>3.6697539581644384E-3</v>
      </c>
      <c r="DS127" s="94">
        <v>2.0818655314905695E-3</v>
      </c>
      <c r="DT127" s="94">
        <f t="shared" ca="1" si="92"/>
        <v>7.3113991359255483E-3</v>
      </c>
      <c r="DU127" s="87">
        <f ca="1">(BJ127-CF127)/(CF127-CE127)</f>
        <v>1.6388879031809918</v>
      </c>
      <c r="DV127" s="46"/>
      <c r="DW127" s="43">
        <f>_xlfn.STDEV.P(BF127:BI127)</f>
        <v>0.12813567028739622</v>
      </c>
      <c r="DX127" s="76">
        <f ca="1">BO127-$DT$2</f>
        <v>0.24759999999999982</v>
      </c>
      <c r="DY127" s="76">
        <f ca="1">BO127-BP127*100</f>
        <v>-2.6200000000000001E-2</v>
      </c>
      <c r="DZ127" s="101"/>
      <c r="EA127" s="100">
        <v>0.81950000000000001</v>
      </c>
      <c r="EB127" s="107">
        <v>0.26659999999999995</v>
      </c>
      <c r="EC127" s="107">
        <v>-6.6500000000000004E-2</v>
      </c>
      <c r="ED127" s="98">
        <f t="shared" ca="1" si="93"/>
        <v>0.27379999999999982</v>
      </c>
      <c r="EE127" s="66"/>
      <c r="EF127" s="66"/>
      <c r="EH127" s="2" t="e" vm="126">
        <v>#VALUE!</v>
      </c>
      <c r="EJ127" s="10" cm="1">
        <f t="array" aca="1" ref="EJ127" ca="1">_FV(EH127,"Ações em circulação",TRUE)</f>
        <v>10784550000</v>
      </c>
      <c r="EK127" s="21">
        <f>VLOOKUP(BK127,Fundamentus!A:U,5,FALSE)</f>
        <v>0</v>
      </c>
      <c r="EL127" s="2" t="e">
        <f ca="1">(BJ127*EJ127)/EK127</f>
        <v>#DIV/0!</v>
      </c>
      <c r="EM127" s="20" t="e">
        <v>#DIV/0!</v>
      </c>
      <c r="EN127" s="20" t="e">
        <f t="shared" ca="1" si="94"/>
        <v>#DIV/0!</v>
      </c>
      <c r="EP127" s="19" t="e">
        <f t="shared" ca="1" si="89"/>
        <v>#DIV/0!</v>
      </c>
      <c r="EQ127" s="40" t="str">
        <f>IF(VLOOKUP(BK127,Fundamentus!A:U,3,FALSE)&lt;15,"Bom",IF(VLOOKUP(BK127,Fundamentus!A:U,3,FALSE)&gt;15,"Ruim","n/a"))</f>
        <v>Bom</v>
      </c>
      <c r="ER127" s="36" t="str">
        <f>IF(VLOOKUP(BK127,Fundamentus!A:U,4,FALSE)&lt;1,"Baixo",IF(VLOOKUP(BK127,Fundamentus!A:U,4,FALSE)&lt;1.5,"Moderado",IF(VLOOKUP(BK127,Fundamentus!A:U,4,FALSE)&gt;1.5,"Alto","n/a")))</f>
        <v>Alto</v>
      </c>
      <c r="ES127" s="20" t="str">
        <f>IF(VLOOKUP(BK127,Fundamentus!A:U,8,FALSE)&lt;0,"Risco elevado",IF(VLOOKUP(BK127,Fundamentus!A:U,8,FALSE)&lt;1,"Saudável",IF(VLOOKUP(BK127,Fundamentus!A:U,8,FALSE)&lt;3,"Estável",IF(VLOOKUP(BK127,Fundamentus!A:U,8,FALSE)&gt;3,"Alerta","n/a"))))</f>
        <v>Saudável</v>
      </c>
      <c r="ET127" s="36" t="str">
        <f t="shared" si="95"/>
        <v>Ruim</v>
      </c>
      <c r="EU127" s="20" t="str">
        <f>IF(VLOOKUP(BK127,Fundamentus!A:U,12,FALSE)&lt;2,"Subvalorizada",IF(VLOOKUP(BK127,Fundamentus!A:U,12,FALSE)&lt;6,"Muita barata",IF(VLOOKUP(BK127,Fundamentus!A:U,12,FALSE)&lt;6,"Barata",IF(VLOOKUP(BK127,Fundamentus!A:U,12,FALSE)&lt;8,"Atrativa",IF(VLOOKUP(BK127,Fundamentus!A:U,12,FALSE)&gt;8,"Supervalorizada","n/a")))))</f>
        <v>Subvalorizada</v>
      </c>
      <c r="EW127" s="20" t="str">
        <f>IF(VLOOKUP(BK127,Fundamentus!A:U,17,FALSE)&lt;0.1,"Fraco retorno",IF(VLOOKUP(BK127,Fundamentus!A:U,17,FALSE)&gt;0.1,"Bom retorno","n/a"))</f>
        <v>Bom retorno</v>
      </c>
      <c r="EX127" s="20" t="str">
        <f>IF(VLOOKUP(BK127,Fundamentus!A:U,16,FALSE)&lt;0.1,"Ineficiente",IF(VLOOKUP(BK127,Fundamentus!A:U,16,FALSE)&gt;0.1,"Eficiente","n/a"))</f>
        <v>Ineficiente</v>
      </c>
      <c r="EY127" s="41" t="str">
        <f>IF(VLOOKUP(BK127,Fundamentus!A:U,16,FALSE)&lt;0.1,"Oper. Ineficiente",IF(VLOOKUP(BK127,Fundamentus!A:U,16,FALSE)&gt;0.1,"Oper.Eficiente","n/a"))</f>
        <v>Oper. Ineficiente</v>
      </c>
      <c r="EZ127" s="42">
        <f>VLOOKUP(BK127,Fundamentus!A:U,14,FALSE)</f>
        <v>0</v>
      </c>
      <c r="FA127" s="20" t="str">
        <f>IF(VLOOKUP(BK127,Fundamentus!A:U,21,FALSE)&lt;0,"Negativo",IF(VLOOKUP(BK127,Fundamentus!A:U,21,FALSE)&lt;0.05,"Fraco",IF(VLOOKUP(BK127,Fundamentus!A:U,21,FALSE)&lt;0.1,"Bom",IF(VLOOKUP(BK127,Fundamentus!A:U,21,FALSE)&gt;0.1,"Muito bom","n/a"))))</f>
        <v>Muito bom</v>
      </c>
      <c r="FC127" s="37" t="str">
        <f>IF(VLOOKUP(BK127,Fundamentus!A:U,15,FALSE)&gt;1,"Bom",IF(VLOOKUP(BK127,Fundamentus!A:U,15,FALSE)&lt;1,"Ruim","n/a"))</f>
        <v>Ruim</v>
      </c>
      <c r="FD127" s="20" t="str">
        <f>IF(VLOOKUP(BK127,Fundamentus!A:U,20,FALSE)&lt;0.5,"Baixa",IF(VLOOKUP(BK127,Fundamentus!A:U,20,FALSE)&lt;1,"Moderada",IF(VLOOKUP(BK127,Fundamentus!A:U,20,FALSE)&lt;2,"Alerta",IF(VLOOKUP(BK127,Fundamentus!A:U,20,FALSE)&gt;2,"Alta","n/a"))))</f>
        <v>Baixa</v>
      </c>
      <c r="FE127" s="10"/>
    </row>
    <row r="128" spans="1:161" s="2" customFormat="1" ht="11.25" hidden="1"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8">
        <v>1.68</v>
      </c>
      <c r="BC128" s="62">
        <v>1.47</v>
      </c>
      <c r="BD128" s="62">
        <v>1.5</v>
      </c>
      <c r="BE128" s="62">
        <v>1.55</v>
      </c>
      <c r="BF128" s="62">
        <v>1.53</v>
      </c>
      <c r="BG128" s="81">
        <v>1.5</v>
      </c>
      <c r="BH128" s="62">
        <v>1.49</v>
      </c>
      <c r="BI128" s="62">
        <v>1.42</v>
      </c>
      <c r="BJ128" s="62" cm="1">
        <f t="array" aca="1" ref="BJ128" ca="1">_FV(EH128,"Preço")</f>
        <v>1.43</v>
      </c>
      <c r="BK128" s="83" t="s">
        <v>124</v>
      </c>
      <c r="BL128" s="44" cm="1">
        <f t="array" aca="1" ref="BL128" ca="1">_FV(EH128,"Média de volume",TRUE)</f>
        <v>27770</v>
      </c>
      <c r="BM128" s="44">
        <v>44800</v>
      </c>
      <c r="BN128" s="44" cm="1">
        <f t="array" aca="1" ref="BN128" ca="1">_FV(EH128,"Volume")</f>
        <v>34200</v>
      </c>
      <c r="BO128" s="32" cm="1">
        <f t="array" aca="1" ref="BO128" ca="1">_FV(EH128,"Beta")</f>
        <v>0.54649999999999999</v>
      </c>
      <c r="BP128" s="86" cm="1">
        <f t="array" aca="1" ref="BP128" ca="1">_FV(EH128,"Variação (%)",TRUE)</f>
        <v>7.0420000000000005E-3</v>
      </c>
      <c r="BQ128" s="48"/>
      <c r="BR128" s="48"/>
      <c r="BT128" s="20" cm="1">
        <f t="array" aca="1" ref="BT128" ca="1">_FV(EH128,"Baixo")</f>
        <v>1.41</v>
      </c>
      <c r="BU128" s="20" cm="1">
        <f t="array" aca="1" ref="BU128" ca="1">_FV(EH128,"Alto")</f>
        <v>1.44</v>
      </c>
      <c r="BV128" s="32"/>
      <c r="BW128" s="73">
        <f ca="1">SQRT(22.5*(BJ128/VLOOKUP(BK128,Fundamentus!A:U,3,FALSE))*(BJ128/VLOOKUP(BK128,Fundamentus!A:U,4,FALSE)))</f>
        <v>1.9228274588902337</v>
      </c>
      <c r="BY128" s="72">
        <f t="shared" ca="1" si="90"/>
        <v>7.0422535211267668E-3</v>
      </c>
      <c r="BZ128" s="8"/>
      <c r="CA128" s="71">
        <f t="shared" si="98"/>
        <v>1.41</v>
      </c>
      <c r="CB128" s="71">
        <f t="shared" si="91"/>
        <v>2.4700000000000002</v>
      </c>
      <c r="CC128" s="71">
        <f t="shared" si="99"/>
        <v>1.9194262295081967</v>
      </c>
      <c r="CD128" s="17"/>
      <c r="CE128" s="43">
        <f t="shared" si="96"/>
        <v>1.3193774225170201</v>
      </c>
      <c r="CF128" s="18">
        <f>FORECAST("04/07/2025", BF128:BI128, $BF$5:$BI$5)</f>
        <v>1.4000000000000057</v>
      </c>
      <c r="CG128" s="43">
        <f t="shared" si="97"/>
        <v>1.4806225774829913</v>
      </c>
      <c r="CI128" s="17"/>
      <c r="CJ128" s="20">
        <f>CA128-2*(CB128-CM128)</f>
        <v>3.3333333333327442E-3</v>
      </c>
      <c r="CK128" s="20">
        <f>CM128-(CB128-CA128)</f>
        <v>0.70666666666666633</v>
      </c>
      <c r="CL128" s="20">
        <f>2*CM128-CB128</f>
        <v>1.063333333333333</v>
      </c>
      <c r="CM128" s="48">
        <f>(CB128+CA128+BI128)/3</f>
        <v>1.7666666666666666</v>
      </c>
      <c r="CN128" s="20">
        <f>2*CM128-CA128</f>
        <v>2.1233333333333331</v>
      </c>
      <c r="CO128" s="20">
        <f>CM128+(CB128-CA128)</f>
        <v>2.8266666666666671</v>
      </c>
      <c r="CP128" s="20">
        <f>CB128+2*(CM128-CA128)</f>
        <v>3.1833333333333336</v>
      </c>
      <c r="CQ128" s="2" cm="1">
        <f t="array" aca="1" ref="CQ128" ca="1">MAX(_xlfn._xlws.FILTER(CJ128:CP128,CJ128:CP128&lt;BJ128))</f>
        <v>1.063333333333333</v>
      </c>
      <c r="CR128" s="2" cm="1">
        <f t="array" aca="1" ref="CR128" ca="1">MIN(_xlfn._xlws.FILTER($CJ128:$CP128,$CJ128:$CP128&gt;BJ128))</f>
        <v>1.7666666666666666</v>
      </c>
      <c r="CS128" s="19">
        <f t="shared" ca="1" si="117"/>
        <v>0.66144200626959293</v>
      </c>
      <c r="CT128" s="23">
        <f t="shared" ca="1" si="118"/>
        <v>-0.33072100313479647</v>
      </c>
      <c r="CU128" s="23">
        <f t="shared" ca="1" si="119"/>
        <v>-0.22048066875653097</v>
      </c>
      <c r="CV128" s="23">
        <f t="shared" ca="1" si="120"/>
        <v>-0.13228840125391858</v>
      </c>
      <c r="CW128" s="23">
        <f t="shared" ca="1" si="121"/>
        <v>-7.3493556252176989E-2</v>
      </c>
      <c r="CX128" s="23">
        <f t="shared" ca="1" si="122"/>
        <v>-3.8908353309976051E-2</v>
      </c>
      <c r="CY128" s="23">
        <f t="shared" ca="1" si="123"/>
        <v>-2.0043697159684633E-2</v>
      </c>
      <c r="CZ128" s="23">
        <f t="shared" ca="1" si="124"/>
        <v>-1.0176030865686045E-2</v>
      </c>
      <c r="DA128" s="24">
        <f t="shared" ca="1" si="125"/>
        <v>1.0176030865686045E-2</v>
      </c>
      <c r="DB128" s="24">
        <f t="shared" ca="1" si="126"/>
        <v>2.0043697159684633E-2</v>
      </c>
      <c r="DC128" s="24">
        <f t="shared" ca="1" si="127"/>
        <v>3.8908353309976051E-2</v>
      </c>
      <c r="DD128" s="24">
        <f t="shared" ca="1" si="128"/>
        <v>7.3493556252176989E-2</v>
      </c>
      <c r="DE128" s="24">
        <f t="shared" ca="1" si="129"/>
        <v>0.13228840125391858</v>
      </c>
      <c r="DF128" s="24">
        <f t="shared" ca="1" si="130"/>
        <v>0.22048066875653097</v>
      </c>
      <c r="DG128" s="24">
        <f t="shared" ca="1" si="131"/>
        <v>0.33072100313479647</v>
      </c>
      <c r="DI128" s="19" cm="1">
        <f t="array" aca="1" ref="DI128" ca="1">MAX(_xlfn._xlws.FILTER(CT128:DG128,CT128:DG128&lt;BP128))</f>
        <v>-1.0176030865686045E-2</v>
      </c>
      <c r="DJ128" s="19" cm="1">
        <f t="array" aca="1" ref="DJ128" ca="1">MIN(_xlfn._xlws.FILTER(CT128:DG128,CT128:DG128&gt;BP128))</f>
        <v>1.0176030865686045E-2</v>
      </c>
      <c r="DK128" s="2" cm="1">
        <f t="array" aca="1" ref="DK128" ca="1">_FV(EH128,"Fechamento anterior",TRUE)</f>
        <v>1.42</v>
      </c>
      <c r="DL128" s="36">
        <f ca="1">(BJ128-DM128)/(DN128-DM128)</f>
        <v>0.84602162739470199</v>
      </c>
      <c r="DM128" s="18">
        <f t="shared" ca="1" si="132"/>
        <v>1.4055500361707258</v>
      </c>
      <c r="DN128" s="18">
        <f t="shared" ca="1" si="133"/>
        <v>1.434449963829274</v>
      </c>
      <c r="DO128" s="9"/>
      <c r="DP128" s="9"/>
      <c r="DQ128" s="94">
        <v>1.8983389534157621E-2</v>
      </c>
      <c r="DR128" s="94">
        <v>1.8983389534157621E-2</v>
      </c>
      <c r="DS128" s="94">
        <v>1.864523536165329E-2</v>
      </c>
      <c r="DT128" s="94">
        <f t="shared" ca="1" si="92"/>
        <v>2.0352061731372089E-2</v>
      </c>
      <c r="DU128" s="87">
        <f ca="1">(BJ128-CF128)/(CF128-CE128)</f>
        <v>0.37210420376755349</v>
      </c>
      <c r="DV128" s="46"/>
      <c r="DW128" s="43">
        <f>_xlfn.STDEV.P(BF128:BI128)</f>
        <v>4.0311288741492785E-2</v>
      </c>
      <c r="DX128" s="76">
        <f ca="1">BO128-$DT$2</f>
        <v>-0.45060000000000011</v>
      </c>
      <c r="DY128" s="76">
        <f ca="1">BO128-BP128*100</f>
        <v>-0.15770000000000006</v>
      </c>
      <c r="DZ128" s="101"/>
      <c r="EA128" s="100">
        <v>-2.3858999999999999</v>
      </c>
      <c r="EB128" s="107">
        <v>4.0004999999999997</v>
      </c>
      <c r="EC128" s="107">
        <v>-2.5587999999999997</v>
      </c>
      <c r="ED128" s="98">
        <f t="shared" ca="1" si="93"/>
        <v>-0.29290000000000005</v>
      </c>
      <c r="EE128" s="66"/>
      <c r="EF128" s="66"/>
      <c r="EH128" s="2" t="e" vm="127">
        <v>#VALUE!</v>
      </c>
      <c r="EJ128" s="10" cm="1">
        <f t="array" aca="1" ref="EJ128" ca="1">_FV(EH128,"Ações em circulação",TRUE)</f>
        <v>66086360</v>
      </c>
      <c r="EK128" s="21">
        <f>VLOOKUP(BK128,Fundamentus!A:U,5,FALSE)</f>
        <v>0.44600000000000001</v>
      </c>
      <c r="EL128" s="2">
        <f ca="1">(BJ128*EJ128)/EK128</f>
        <v>211891243.94618833</v>
      </c>
      <c r="EM128" s="20">
        <v>3997780.2529147975</v>
      </c>
      <c r="EN128" s="20">
        <f t="shared" ca="1" si="94"/>
        <v>4025933.6349775782</v>
      </c>
      <c r="EP128" s="19">
        <f t="shared" ca="1" si="89"/>
        <v>7.0422535211269732E-3</v>
      </c>
      <c r="EQ128" s="40" t="str">
        <f>IF(VLOOKUP(BK128,Fundamentus!A:U,3,FALSE)&lt;15,"Bom",IF(VLOOKUP(BK128,Fundamentus!A:U,3,FALSE)&gt;15,"Ruim","n/a"))</f>
        <v>Ruim</v>
      </c>
      <c r="ER128" s="36" t="str">
        <f>IF(VLOOKUP(BK128,Fundamentus!A:U,4,FALSE)&lt;1,"Baixo",IF(VLOOKUP(BK128,Fundamentus!A:U,4,FALSE)&lt;1.5,"Moderado",IF(VLOOKUP(BK128,Fundamentus!A:U,4,FALSE)&gt;1.5,"Alto","n/a")))</f>
        <v>Baixo</v>
      </c>
      <c r="ES128" s="20" t="str">
        <f>IF(VLOOKUP(BK128,Fundamentus!A:U,8,FALSE)&lt;0,"Risco elevado",IF(VLOOKUP(BK128,Fundamentus!A:U,8,FALSE)&lt;1,"Saudável",IF(VLOOKUP(BK128,Fundamentus!A:U,8,FALSE)&lt;3,"Estável",IF(VLOOKUP(BK128,Fundamentus!A:U,8,FALSE)&gt;3,"Alerta","n/a"))))</f>
        <v>Alerta</v>
      </c>
      <c r="ET128" s="36" t="str">
        <f t="shared" si="95"/>
        <v>Ruim</v>
      </c>
      <c r="EU128" s="20" t="str">
        <f>IF(VLOOKUP(BK128,Fundamentus!A:U,12,FALSE)&lt;2,"Subvalorizada",IF(VLOOKUP(BK128,Fundamentus!A:U,12,FALSE)&lt;6,"Muita barata",IF(VLOOKUP(BK128,Fundamentus!A:U,12,FALSE)&lt;6,"Barata",IF(VLOOKUP(BK128,Fundamentus!A:U,12,FALSE)&lt;8,"Atrativa",IF(VLOOKUP(BK128,Fundamentus!A:U,12,FALSE)&gt;8,"Supervalorizada","n/a")))))</f>
        <v>Supervalorizada</v>
      </c>
      <c r="EW128" s="20" t="str">
        <f>IF(VLOOKUP(BK128,Fundamentus!A:U,17,FALSE)&lt;0.1,"Fraco retorno",IF(VLOOKUP(BK128,Fundamentus!A:U,17,FALSE)&gt;0.1,"Bom retorno","n/a"))</f>
        <v>Fraco retorno</v>
      </c>
      <c r="EX128" s="20" t="str">
        <f>IF(VLOOKUP(BK128,Fundamentus!A:U,16,FALSE)&lt;0.1,"Ineficiente",IF(VLOOKUP(BK128,Fundamentus!A:U,16,FALSE)&gt;0.1,"Eficiente","n/a"))</f>
        <v>Ineficiente</v>
      </c>
      <c r="EY128" s="41" t="str">
        <f>IF(VLOOKUP(BK128,Fundamentus!A:U,16,FALSE)&lt;0.1,"Oper. Ineficiente",IF(VLOOKUP(BK128,Fundamentus!A:U,16,FALSE)&gt;0.1,"Oper.Eficiente","n/a"))</f>
        <v>Oper. Ineficiente</v>
      </c>
      <c r="EZ128" s="42">
        <f>VLOOKUP(BK128,Fundamentus!A:U,14,FALSE)</f>
        <v>1.9E-2</v>
      </c>
      <c r="FA128" s="20" t="str">
        <f>IF(VLOOKUP(BK128,Fundamentus!A:U,21,FALSE)&lt;0,"Negativo",IF(VLOOKUP(BK128,Fundamentus!A:U,21,FALSE)&lt;0.05,"Fraco",IF(VLOOKUP(BK128,Fundamentus!A:U,21,FALSE)&lt;0.1,"Bom",IF(VLOOKUP(BK128,Fundamentus!A:U,21,FALSE)&gt;0.1,"Muito bom","n/a"))))</f>
        <v>Bom</v>
      </c>
      <c r="FC128" s="37" t="str">
        <f>IF(VLOOKUP(BK128,Fundamentus!A:U,15,FALSE)&gt;1,"Bom",IF(VLOOKUP(BK128,Fundamentus!A:U,15,FALSE)&lt;1,"Ruim","n/a"))</f>
        <v>Bom</v>
      </c>
      <c r="FD128" s="20" t="str">
        <f>IF(VLOOKUP(BK128,Fundamentus!A:U,20,FALSE)&lt;0.5,"Baixa",IF(VLOOKUP(BK128,Fundamentus!A:U,20,FALSE)&lt;1,"Moderada",IF(VLOOKUP(BK128,Fundamentus!A:U,20,FALSE)&lt;2,"Alerta",IF(VLOOKUP(BK128,Fundamentus!A:U,20,FALSE)&gt;2,"Alta","n/a"))))</f>
        <v>Moderada</v>
      </c>
      <c r="FE128" s="10"/>
    </row>
    <row r="129" spans="1:161" s="2" customFormat="1" ht="11.25" hidden="1"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8">
        <v>5.6</v>
      </c>
      <c r="BC129" s="62">
        <v>5.55</v>
      </c>
      <c r="BD129" s="62">
        <v>5.33</v>
      </c>
      <c r="BE129" s="62">
        <v>5.2</v>
      </c>
      <c r="BF129" s="62">
        <v>5.18</v>
      </c>
      <c r="BG129" s="81">
        <v>4.7699999999999996</v>
      </c>
      <c r="BH129" s="62">
        <v>4.4000000000000004</v>
      </c>
      <c r="BI129" s="62">
        <v>4.1500000000000004</v>
      </c>
      <c r="BJ129" s="62" cm="1">
        <f t="array" aca="1" ref="BJ129" ca="1">_FV(EH129,"Preço")</f>
        <v>4.12</v>
      </c>
      <c r="BK129" s="83" t="s">
        <v>125</v>
      </c>
      <c r="BL129" s="44" cm="1">
        <f t="array" aca="1" ref="BL129" ca="1">_FV(EH129,"Média de volume",TRUE)</f>
        <v>22426060</v>
      </c>
      <c r="BM129" s="44">
        <v>12137900</v>
      </c>
      <c r="BN129" s="44" cm="1">
        <f t="array" aca="1" ref="BN129" ca="1">_FV(EH129,"Volume")</f>
        <v>5644100</v>
      </c>
      <c r="BO129" s="32" cm="1">
        <f t="array" aca="1" ref="BO129" ca="1">_FV(EH129,"Beta")</f>
        <v>0.92610000000000003</v>
      </c>
      <c r="BP129" s="86" cm="1">
        <f t="array" aca="1" ref="BP129" ca="1">_FV(EH129,"Variação (%)",TRUE)</f>
        <v>-7.2290000000000002E-3</v>
      </c>
      <c r="BQ129" s="48"/>
      <c r="BR129" s="48"/>
      <c r="BT129" s="20" cm="1">
        <f t="array" aca="1" ref="BT129" ca="1">_FV(EH129,"Baixo")</f>
        <v>4.09</v>
      </c>
      <c r="BU129" s="20" cm="1">
        <f t="array" aca="1" ref="BU129" ca="1">_FV(EH129,"Alto")</f>
        <v>4.16</v>
      </c>
      <c r="BV129" s="32"/>
      <c r="BW129" s="73">
        <f ca="1">SQRT(22.5*(BJ129/VLOOKUP(BK129,Fundamentus!A:U,3,FALSE))*(BJ129/VLOOKUP(BK129,Fundamentus!A:U,4,FALSE)))</f>
        <v>5.9933657185079667</v>
      </c>
      <c r="BY129" s="72">
        <f t="shared" ca="1" si="90"/>
        <v>-7.2289156626506616E-3</v>
      </c>
      <c r="BZ129" s="8"/>
      <c r="CA129" s="71">
        <f t="shared" si="98"/>
        <v>4.1500000000000004</v>
      </c>
      <c r="CB129" s="71">
        <f t="shared" si="91"/>
        <v>8.5299999999999994</v>
      </c>
      <c r="CC129" s="71">
        <f t="shared" si="99"/>
        <v>6.1278688524590166</v>
      </c>
      <c r="CD129" s="17"/>
      <c r="CE129" s="43">
        <f t="shared" si="96"/>
        <v>2.9819897172913672</v>
      </c>
      <c r="CF129" s="18">
        <f>FORECAST("04/07/2025", BF129:BI129, $BF$5:$BI$5)</f>
        <v>3.7599999999997635</v>
      </c>
      <c r="CG129" s="43">
        <f t="shared" si="97"/>
        <v>4.5380102827081599</v>
      </c>
      <c r="CI129" s="17"/>
      <c r="CJ129" s="20">
        <f>CA129-2*(CB129-CM129)</f>
        <v>-1.6899999999999995</v>
      </c>
      <c r="CK129" s="20">
        <f>CM129-(CB129-CA129)</f>
        <v>1.2300000000000004</v>
      </c>
      <c r="CL129" s="20">
        <f>2*CM129-CB129</f>
        <v>2.6899999999999995</v>
      </c>
      <c r="CM129" s="48">
        <f>(CB129+CA129+BI129)/3</f>
        <v>5.6099999999999994</v>
      </c>
      <c r="CN129" s="20">
        <f>2*CM129-CA129</f>
        <v>7.0699999999999985</v>
      </c>
      <c r="CO129" s="20">
        <f>CM129+(CB129-CA129)</f>
        <v>9.9899999999999984</v>
      </c>
      <c r="CP129" s="20">
        <f>CB129+2*(CM129-CA129)</f>
        <v>11.449999999999998</v>
      </c>
      <c r="CQ129" s="2" cm="1">
        <f t="array" aca="1" ref="CQ129" ca="1">MAX(_xlfn._xlws.FILTER(CJ129:CP129,CJ129:CP129&lt;BJ129))</f>
        <v>2.6899999999999995</v>
      </c>
      <c r="CR129" s="2" cm="1">
        <f t="array" aca="1" ref="CR129" ca="1">MIN(_xlfn._xlws.FILTER($CJ129:$CP129,$CJ129:$CP129&gt;BJ129))</f>
        <v>5.6099999999999994</v>
      </c>
      <c r="CS129" s="19">
        <f t="shared" ca="1" si="117"/>
        <v>1.0855018587360599</v>
      </c>
      <c r="CT129" s="23">
        <f t="shared" ca="1" si="118"/>
        <v>-0.54275092936802993</v>
      </c>
      <c r="CU129" s="23">
        <f t="shared" ca="1" si="119"/>
        <v>-0.36183395291201997</v>
      </c>
      <c r="CV129" s="23">
        <f t="shared" ca="1" si="120"/>
        <v>-0.21710037174721197</v>
      </c>
      <c r="CW129" s="23">
        <f t="shared" ca="1" si="121"/>
        <v>-0.12061131763733998</v>
      </c>
      <c r="CX129" s="23">
        <f t="shared" ca="1" si="122"/>
        <v>-6.3853050513885873E-2</v>
      </c>
      <c r="CY129" s="23">
        <f t="shared" ca="1" si="123"/>
        <v>-3.2893995719274538E-2</v>
      </c>
      <c r="CZ129" s="23">
        <f t="shared" ca="1" si="124"/>
        <v>-1.6700028595939383E-2</v>
      </c>
      <c r="DA129" s="24">
        <f t="shared" ca="1" si="125"/>
        <v>1.6700028595939383E-2</v>
      </c>
      <c r="DB129" s="24">
        <f t="shared" ca="1" si="126"/>
        <v>3.2893995719274538E-2</v>
      </c>
      <c r="DC129" s="24">
        <f t="shared" ca="1" si="127"/>
        <v>6.3853050513885873E-2</v>
      </c>
      <c r="DD129" s="24">
        <f t="shared" ca="1" si="128"/>
        <v>0.12061131763733998</v>
      </c>
      <c r="DE129" s="24">
        <f t="shared" ca="1" si="129"/>
        <v>0.21710037174721197</v>
      </c>
      <c r="DF129" s="24">
        <f t="shared" ca="1" si="130"/>
        <v>0.36183395291201997</v>
      </c>
      <c r="DG129" s="24">
        <f t="shared" ca="1" si="131"/>
        <v>0.54275092936802993</v>
      </c>
      <c r="DI129" s="19" cm="1">
        <f t="array" aca="1" ref="DI129" ca="1">MAX(_xlfn._xlws.FILTER(CT129:DG129,CT129:DG129&lt;BP129))</f>
        <v>-1.6700028595939383E-2</v>
      </c>
      <c r="DJ129" s="19" cm="1">
        <f t="array" aca="1" ref="DJ129" ca="1">MIN(_xlfn._xlws.FILTER(CT129:DG129,CT129:DG129&gt;BP129))</f>
        <v>1.6700028595939383E-2</v>
      </c>
      <c r="DK129" s="2" cm="1">
        <f t="array" aca="1" ref="DK129" ca="1">_FV(EH129,"Fechamento anterior",TRUE)</f>
        <v>4.1500000000000004</v>
      </c>
      <c r="DL129" s="36">
        <f ca="1">(BJ129-DM129)/(DN129-DM129)</f>
        <v>0.28356576992902993</v>
      </c>
      <c r="DM129" s="18">
        <f t="shared" ca="1" si="132"/>
        <v>4.0806948813268518</v>
      </c>
      <c r="DN129" s="18">
        <f t="shared" ca="1" si="133"/>
        <v>4.2193051186731489</v>
      </c>
      <c r="DO129" s="9"/>
      <c r="DP129" s="9"/>
      <c r="DQ129" s="94">
        <v>2.161245568059195E-2</v>
      </c>
      <c r="DR129" s="94">
        <v>2.161245568059195E-2</v>
      </c>
      <c r="DS129" s="94">
        <v>3.7390834776455696E-2</v>
      </c>
      <c r="DT129" s="94">
        <f t="shared" ca="1" si="92"/>
        <v>3.3400057191878767E-2</v>
      </c>
      <c r="DU129" s="87">
        <f ca="1">(BJ129-CF129)/(CF129-CE129)</f>
        <v>0.4627188200482526</v>
      </c>
      <c r="DV129" s="46"/>
      <c r="DW129" s="43">
        <f>_xlfn.STDEV.P(BF129:BI129)</f>
        <v>0.38900514135419823</v>
      </c>
      <c r="DX129" s="76">
        <f ca="1">BO129-$DT$2</f>
        <v>-7.1000000000000063E-2</v>
      </c>
      <c r="DY129" s="76">
        <f ca="1">BO129-BP129*100</f>
        <v>1.649</v>
      </c>
      <c r="DZ129" s="101"/>
      <c r="EA129" s="100">
        <v>-6.5979000000000001</v>
      </c>
      <c r="EB129" s="107">
        <v>-2.8975</v>
      </c>
      <c r="EC129" s="107">
        <v>0.42239999999999989</v>
      </c>
      <c r="ED129" s="98">
        <f t="shared" ca="1" si="93"/>
        <v>-1.7200000000000002</v>
      </c>
      <c r="EE129" s="66"/>
      <c r="EF129" s="66"/>
      <c r="EH129" s="2" t="e" vm="128">
        <v>#VALUE!</v>
      </c>
      <c r="EJ129" s="10" cm="1">
        <f t="array" aca="1" ref="EJ129" ca="1">_FV(EH129,"Ações em circulação",TRUE)</f>
        <v>1253079000</v>
      </c>
      <c r="EK129" s="21">
        <f>VLOOKUP(BK129,Fundamentus!A:U,5,FALSE)</f>
        <v>0.22600000000000001</v>
      </c>
      <c r="EL129" s="2">
        <f ca="1">(BJ129*EJ129)/EK129</f>
        <v>22843741061.946903</v>
      </c>
      <c r="EM129" s="20">
        <v>264615908.29646015</v>
      </c>
      <c r="EN129" s="20">
        <f t="shared" ca="1" si="94"/>
        <v>262703022.21238938</v>
      </c>
      <c r="EP129" s="19">
        <f t="shared" ca="1" si="89"/>
        <v>-7.2289156626504925E-3</v>
      </c>
      <c r="EQ129" s="40" t="str">
        <f>IF(VLOOKUP(BK129,Fundamentus!A:U,3,FALSE)&lt;15,"Bom",IF(VLOOKUP(BK129,Fundamentus!A:U,3,FALSE)&gt;15,"Ruim","n/a"))</f>
        <v>Ruim</v>
      </c>
      <c r="ER129" s="36" t="str">
        <f>IF(VLOOKUP(BK129,Fundamentus!A:U,4,FALSE)&lt;1,"Baixo",IF(VLOOKUP(BK129,Fundamentus!A:U,4,FALSE)&lt;1.5,"Moderado",IF(VLOOKUP(BK129,Fundamentus!A:U,4,FALSE)&gt;1.5,"Alto","n/a")))</f>
        <v>Baixo</v>
      </c>
      <c r="ES129" s="20" t="str">
        <f>IF(VLOOKUP(BK129,Fundamentus!A:U,8,FALSE)&lt;0,"Risco elevado",IF(VLOOKUP(BK129,Fundamentus!A:U,8,FALSE)&lt;1,"Saudável",IF(VLOOKUP(BK129,Fundamentus!A:U,8,FALSE)&lt;3,"Estável",IF(VLOOKUP(BK129,Fundamentus!A:U,8,FALSE)&gt;3,"Alerta","n/a"))))</f>
        <v>Saudável</v>
      </c>
      <c r="ET129" s="36" t="str">
        <f t="shared" si="95"/>
        <v>Ruim</v>
      </c>
      <c r="EU129" s="20" t="str">
        <f>IF(VLOOKUP(BK129,Fundamentus!A:U,12,FALSE)&lt;2,"Subvalorizada",IF(VLOOKUP(BK129,Fundamentus!A:U,12,FALSE)&lt;6,"Muita barata",IF(VLOOKUP(BK129,Fundamentus!A:U,12,FALSE)&lt;6,"Barata",IF(VLOOKUP(BK129,Fundamentus!A:U,12,FALSE)&lt;8,"Atrativa",IF(VLOOKUP(BK129,Fundamentus!A:U,12,FALSE)&gt;8,"Supervalorizada","n/a")))))</f>
        <v>Muita barata</v>
      </c>
      <c r="EW129" s="20" t="str">
        <f>IF(VLOOKUP(BK129,Fundamentus!A:U,17,FALSE)&lt;0.1,"Fraco retorno",IF(VLOOKUP(BK129,Fundamentus!A:U,17,FALSE)&gt;0.1,"Bom retorno","n/a"))</f>
        <v>Fraco retorno</v>
      </c>
      <c r="EX129" s="20" t="str">
        <f>IF(VLOOKUP(BK129,Fundamentus!A:U,16,FALSE)&lt;0.1,"Ineficiente",IF(VLOOKUP(BK129,Fundamentus!A:U,16,FALSE)&gt;0.1,"Eficiente","n/a"))</f>
        <v>Ineficiente</v>
      </c>
      <c r="EY129" s="41" t="str">
        <f>IF(VLOOKUP(BK129,Fundamentus!A:U,16,FALSE)&lt;0.1,"Oper. Ineficiente",IF(VLOOKUP(BK129,Fundamentus!A:U,16,FALSE)&gt;0.1,"Oper.Eficiente","n/a"))</f>
        <v>Oper. Ineficiente</v>
      </c>
      <c r="EZ129" s="42">
        <f>VLOOKUP(BK129,Fundamentus!A:U,14,FALSE)</f>
        <v>1.15E-2</v>
      </c>
      <c r="FA129" s="20" t="str">
        <f>IF(VLOOKUP(BK129,Fundamentus!A:U,21,FALSE)&lt;0,"Negativo",IF(VLOOKUP(BK129,Fundamentus!A:U,21,FALSE)&lt;0.05,"Fraco",IF(VLOOKUP(BK129,Fundamentus!A:U,21,FALSE)&lt;0.1,"Bom",IF(VLOOKUP(BK129,Fundamentus!A:U,21,FALSE)&gt;0.1,"Muito bom","n/a"))))</f>
        <v>Fraco</v>
      </c>
      <c r="FC129" s="37" t="str">
        <f>IF(VLOOKUP(BK129,Fundamentus!A:U,15,FALSE)&gt;1,"Bom",IF(VLOOKUP(BK129,Fundamentus!A:U,15,FALSE)&lt;1,"Ruim","n/a"))</f>
        <v>Bom</v>
      </c>
      <c r="FD129" s="20" t="str">
        <f>IF(VLOOKUP(BK129,Fundamentus!A:U,20,FALSE)&lt;0.5,"Baixa",IF(VLOOKUP(BK129,Fundamentus!A:U,20,FALSE)&lt;1,"Moderada",IF(VLOOKUP(BK129,Fundamentus!A:U,20,FALSE)&lt;2,"Alerta",IF(VLOOKUP(BK129,Fundamentus!A:U,20,FALSE)&gt;2,"Alta","n/a"))))</f>
        <v>Baixa</v>
      </c>
      <c r="FE129" s="10"/>
    </row>
    <row r="130" spans="1:161" s="2" customFormat="1" ht="11.25" hidden="1"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8">
        <v>4.13</v>
      </c>
      <c r="BC130" s="62">
        <v>4.41</v>
      </c>
      <c r="BD130" s="62">
        <v>4.32</v>
      </c>
      <c r="BE130" s="62">
        <v>4.0999999999999996</v>
      </c>
      <c r="BF130" s="62">
        <v>4.09</v>
      </c>
      <c r="BG130" s="81">
        <v>4.08</v>
      </c>
      <c r="BH130" s="62">
        <v>4.0999999999999996</v>
      </c>
      <c r="BI130" s="62">
        <v>3.9</v>
      </c>
      <c r="BJ130" s="62" cm="1">
        <f t="array" aca="1" ref="BJ130" ca="1">_FV(EH130,"Preço")</f>
        <v>3.88</v>
      </c>
      <c r="BK130" s="83" t="s">
        <v>126</v>
      </c>
      <c r="BL130" s="44" cm="1">
        <f t="array" aca="1" ref="BL130" ca="1">_FV(EH130,"Média de volume",TRUE)</f>
        <v>616250</v>
      </c>
      <c r="BM130" s="44">
        <v>469700</v>
      </c>
      <c r="BN130" s="44" cm="1">
        <f t="array" aca="1" ref="BN130" ca="1">_FV(EH130,"Volume")</f>
        <v>329700</v>
      </c>
      <c r="BO130" s="32" cm="1">
        <f t="array" aca="1" ref="BO130" ca="1">_FV(EH130,"Beta")</f>
        <v>0.38569999999999999</v>
      </c>
      <c r="BP130" s="86" cm="1">
        <f t="array" aca="1" ref="BP130" ca="1">_FV(EH130,"Variação (%)",TRUE)</f>
        <v>-5.1280000000000006E-3</v>
      </c>
      <c r="BQ130" s="48"/>
      <c r="BR130" s="48"/>
      <c r="BT130" s="20" cm="1">
        <f t="array" aca="1" ref="BT130" ca="1">_FV(EH130,"Baixo")</f>
        <v>3.86</v>
      </c>
      <c r="BU130" s="20" cm="1">
        <f t="array" aca="1" ref="BU130" ca="1">_FV(EH130,"Alto")</f>
        <v>3.92</v>
      </c>
      <c r="BV130" s="32"/>
      <c r="BW130" s="73" t="e">
        <f ca="1">SQRT(22.5*(BJ130/VLOOKUP(BK130,Fundamentus!A:U,3,FALSE))*(BJ130/VLOOKUP(BK130,Fundamentus!A:U,4,FALSE)))</f>
        <v>#NUM!</v>
      </c>
      <c r="BY130" s="72">
        <f t="shared" ca="1" si="90"/>
        <v>-5.1282051282051325E-3</v>
      </c>
      <c r="BZ130" s="8"/>
      <c r="CA130" s="71">
        <f t="shared" si="98"/>
        <v>3.9</v>
      </c>
      <c r="CB130" s="71">
        <f t="shared" si="91"/>
        <v>7.89</v>
      </c>
      <c r="CC130" s="71">
        <f t="shared" si="99"/>
        <v>5.4581967213114764</v>
      </c>
      <c r="CD130" s="17"/>
      <c r="CE130" s="43">
        <f t="shared" si="96"/>
        <v>3.7398485543508921</v>
      </c>
      <c r="CF130" s="18">
        <f>FORECAST("04/07/2025", BF130:BI130, $BF$5:$BI$5)</f>
        <v>3.9050000000000296</v>
      </c>
      <c r="CG130" s="43">
        <f t="shared" si="97"/>
        <v>4.0701514456491665</v>
      </c>
      <c r="CI130" s="17"/>
      <c r="CJ130" s="20">
        <f>CA130-2*(CB130-CM130)</f>
        <v>-1.4200000000000004</v>
      </c>
      <c r="CK130" s="20">
        <f>CM130-(CB130-CA130)</f>
        <v>1.2399999999999998</v>
      </c>
      <c r="CL130" s="20">
        <f>2*CM130-CB130</f>
        <v>2.5699999999999994</v>
      </c>
      <c r="CM130" s="48">
        <f>(CB130+CA130+BI130)/3</f>
        <v>5.2299999999999995</v>
      </c>
      <c r="CN130" s="20">
        <f>2*CM130-CA130</f>
        <v>6.5599999999999987</v>
      </c>
      <c r="CO130" s="20">
        <f>CM130+(CB130-CA130)</f>
        <v>9.2199999999999989</v>
      </c>
      <c r="CP130" s="20">
        <f>CB130+2*(CM130-CA130)</f>
        <v>10.549999999999999</v>
      </c>
      <c r="CQ130" s="2" cm="1">
        <f t="array" aca="1" ref="CQ130" ca="1">MAX(_xlfn._xlws.FILTER(CJ130:CP130,CJ130:CP130&lt;BJ130))</f>
        <v>2.5699999999999994</v>
      </c>
      <c r="CR130" s="2" cm="1">
        <f t="array" aca="1" ref="CR130" ca="1">MIN(_xlfn._xlws.FILTER($CJ130:$CP130,$CJ130:$CP130&gt;BJ130))</f>
        <v>5.2299999999999995</v>
      </c>
      <c r="CS130" s="19">
        <f t="shared" ca="1" si="117"/>
        <v>1.0350194552529186</v>
      </c>
      <c r="CT130" s="23">
        <f t="shared" ca="1" si="118"/>
        <v>-0.5175097276264593</v>
      </c>
      <c r="CU130" s="23">
        <f t="shared" ca="1" si="119"/>
        <v>-0.3450064850843062</v>
      </c>
      <c r="CV130" s="23">
        <f t="shared" ca="1" si="120"/>
        <v>-0.20700389105058373</v>
      </c>
      <c r="CW130" s="23">
        <f t="shared" ca="1" si="121"/>
        <v>-0.11500216169476873</v>
      </c>
      <c r="CX130" s="23">
        <f t="shared" ca="1" si="122"/>
        <v>-6.0883497367818742E-2</v>
      </c>
      <c r="CY130" s="23">
        <f t="shared" ca="1" si="123"/>
        <v>-3.1364225916755112E-2</v>
      </c>
      <c r="CZ130" s="23">
        <f t="shared" ca="1" si="124"/>
        <v>-1.5923376234660287E-2</v>
      </c>
      <c r="DA130" s="24">
        <f t="shared" ca="1" si="125"/>
        <v>1.5923376234660287E-2</v>
      </c>
      <c r="DB130" s="24">
        <f t="shared" ca="1" si="126"/>
        <v>3.1364225916755112E-2</v>
      </c>
      <c r="DC130" s="24">
        <f t="shared" ca="1" si="127"/>
        <v>6.0883497367818742E-2</v>
      </c>
      <c r="DD130" s="24">
        <f t="shared" ca="1" si="128"/>
        <v>0.11500216169476873</v>
      </c>
      <c r="DE130" s="24">
        <f t="shared" ca="1" si="129"/>
        <v>0.20700389105058373</v>
      </c>
      <c r="DF130" s="24">
        <f t="shared" ca="1" si="130"/>
        <v>0.3450064850843062</v>
      </c>
      <c r="DG130" s="24">
        <f t="shared" ca="1" si="131"/>
        <v>0.5175097276264593</v>
      </c>
      <c r="DI130" s="19" cm="1">
        <f t="array" aca="1" ref="DI130" ca="1">MAX(_xlfn._xlws.FILTER(CT130:DG130,CT130:DG130&lt;BP130))</f>
        <v>-1.5923376234660287E-2</v>
      </c>
      <c r="DJ130" s="19" cm="1">
        <f t="array" aca="1" ref="DJ130" ca="1">MIN(_xlfn._xlws.FILTER(CT130:DG130,CT130:DG130&gt;BP130))</f>
        <v>1.5923376234660287E-2</v>
      </c>
      <c r="DK130" s="2" cm="1">
        <f t="array" aca="1" ref="DK130" ca="1">_FV(EH130,"Fechamento anterior",TRUE)</f>
        <v>3.9</v>
      </c>
      <c r="DL130" s="36">
        <f ca="1">(BJ130-DM130)/(DN130-DM130)</f>
        <v>0.33897243107769442</v>
      </c>
      <c r="DM130" s="18">
        <f t="shared" ca="1" si="132"/>
        <v>3.8378988326848247</v>
      </c>
      <c r="DN130" s="18">
        <f t="shared" ca="1" si="133"/>
        <v>3.9621011673151751</v>
      </c>
      <c r="DO130" s="9"/>
      <c r="DP130" s="9"/>
      <c r="DQ130" s="94">
        <v>3.0640129101667551E-2</v>
      </c>
      <c r="DR130" s="94">
        <v>3.0640129101667551E-2</v>
      </c>
      <c r="DS130" s="94">
        <v>2.918745880802184E-2</v>
      </c>
      <c r="DT130" s="94">
        <f t="shared" ca="1" si="92"/>
        <v>3.1846752469320574E-2</v>
      </c>
      <c r="DU130" s="87">
        <f ca="1">(BJ130-CF130)/(CF130-CE130)</f>
        <v>-0.1513762104943478</v>
      </c>
      <c r="DV130" s="46"/>
      <c r="DW130" s="43">
        <f>_xlfn.STDEV.P(BF130:BI130)</f>
        <v>8.2575722824568681E-2</v>
      </c>
      <c r="DX130" s="76">
        <f ca="1">BO130-$DT$2</f>
        <v>-0.61140000000000017</v>
      </c>
      <c r="DY130" s="76">
        <f ca="1">BO130-BP130*100</f>
        <v>0.89850000000000008</v>
      </c>
      <c r="DZ130" s="101"/>
      <c r="EA130" s="100">
        <v>-1.1471</v>
      </c>
      <c r="EB130" s="107">
        <v>1.4864000000000002</v>
      </c>
      <c r="EC130" s="107">
        <v>0.18090000000000001</v>
      </c>
      <c r="ED130" s="98">
        <f t="shared" ca="1" si="93"/>
        <v>-1.5099000000000002</v>
      </c>
      <c r="EE130" s="66"/>
      <c r="EF130" s="66"/>
      <c r="EH130" s="2" t="e" vm="129">
        <v>#VALUE!</v>
      </c>
      <c r="EJ130" s="10" cm="1">
        <f t="array" aca="1" ref="EJ130" ca="1">_FV(EH130,"Ações em circulação",TRUE)</f>
        <v>303541900</v>
      </c>
      <c r="EK130" s="21">
        <f>VLOOKUP(BK130,Fundamentus!A:U,5,FALSE)</f>
        <v>0.56599999999999995</v>
      </c>
      <c r="EL130" s="2">
        <f ca="1">(BJ130*EJ130)/EK130</f>
        <v>2080817265.017668</v>
      </c>
      <c r="EM130" s="20">
        <v>-33255535.722614847</v>
      </c>
      <c r="EN130" s="20">
        <f t="shared" ca="1" si="94"/>
        <v>-33084994.513780922</v>
      </c>
      <c r="EP130" s="19">
        <f t="shared" ca="1" si="89"/>
        <v>-5.128205128205221E-3</v>
      </c>
      <c r="EQ130" s="40" t="str">
        <f>IF(VLOOKUP(BK130,Fundamentus!A:U,3,FALSE)&lt;15,"Bom",IF(VLOOKUP(BK130,Fundamentus!A:U,3,FALSE)&gt;15,"Ruim","n/a"))</f>
        <v>Bom</v>
      </c>
      <c r="ER130" s="36" t="str">
        <f>IF(VLOOKUP(BK130,Fundamentus!A:U,4,FALSE)&lt;1,"Baixo",IF(VLOOKUP(BK130,Fundamentus!A:U,4,FALSE)&lt;1.5,"Moderado",IF(VLOOKUP(BK130,Fundamentus!A:U,4,FALSE)&gt;1.5,"Alto","n/a")))</f>
        <v>Baixo</v>
      </c>
      <c r="ES130" s="20" t="str">
        <f>IF(VLOOKUP(BK130,Fundamentus!A:U,8,FALSE)&lt;0,"Risco elevado",IF(VLOOKUP(BK130,Fundamentus!A:U,8,FALSE)&lt;1,"Saudável",IF(VLOOKUP(BK130,Fundamentus!A:U,8,FALSE)&lt;3,"Estável",IF(VLOOKUP(BK130,Fundamentus!A:U,8,FALSE)&gt;3,"Alerta","n/a"))))</f>
        <v>Saudável</v>
      </c>
      <c r="ET130" s="36" t="str">
        <f t="shared" si="95"/>
        <v>Ruim</v>
      </c>
      <c r="EU130" s="20" t="str">
        <f>IF(VLOOKUP(BK130,Fundamentus!A:U,12,FALSE)&lt;2,"Subvalorizada",IF(VLOOKUP(BK130,Fundamentus!A:U,12,FALSE)&lt;6,"Muita barata",IF(VLOOKUP(BK130,Fundamentus!A:U,12,FALSE)&lt;6,"Barata",IF(VLOOKUP(BK130,Fundamentus!A:U,12,FALSE)&lt;8,"Atrativa",IF(VLOOKUP(BK130,Fundamentus!A:U,12,FALSE)&gt;8,"Supervalorizada","n/a")))))</f>
        <v>Muita barata</v>
      </c>
      <c r="EW130" s="20" t="str">
        <f>IF(VLOOKUP(BK130,Fundamentus!A:U,17,FALSE)&lt;0.1,"Fraco retorno",IF(VLOOKUP(BK130,Fundamentus!A:U,17,FALSE)&gt;0.1,"Bom retorno","n/a"))</f>
        <v>Fraco retorno</v>
      </c>
      <c r="EX130" s="20" t="str">
        <f>IF(VLOOKUP(BK130,Fundamentus!A:U,16,FALSE)&lt;0.1,"Ineficiente",IF(VLOOKUP(BK130,Fundamentus!A:U,16,FALSE)&gt;0.1,"Eficiente","n/a"))</f>
        <v>Ineficiente</v>
      </c>
      <c r="EY130" s="41" t="str">
        <f>IF(VLOOKUP(BK130,Fundamentus!A:U,16,FALSE)&lt;0.1,"Oper. Ineficiente",IF(VLOOKUP(BK130,Fundamentus!A:U,16,FALSE)&gt;0.1,"Oper.Eficiente","n/a"))</f>
        <v>Oper. Ineficiente</v>
      </c>
      <c r="EZ130" s="42">
        <f>VLOOKUP(BK130,Fundamentus!A:U,14,FALSE)</f>
        <v>-1.5900000000000001E-2</v>
      </c>
      <c r="FA130" s="20" t="str">
        <f>IF(VLOOKUP(BK130,Fundamentus!A:U,21,FALSE)&lt;0,"Negativo",IF(VLOOKUP(BK130,Fundamentus!A:U,21,FALSE)&lt;0.05,"Fraco",IF(VLOOKUP(BK130,Fundamentus!A:U,21,FALSE)&lt;0.1,"Bom",IF(VLOOKUP(BK130,Fundamentus!A:U,21,FALSE)&gt;0.1,"Muito bom","n/a"))))</f>
        <v>Muito bom</v>
      </c>
      <c r="FC130" s="37" t="str">
        <f>IF(VLOOKUP(BK130,Fundamentus!A:U,15,FALSE)&gt;1,"Bom",IF(VLOOKUP(BK130,Fundamentus!A:U,15,FALSE)&lt;1,"Ruim","n/a"))</f>
        <v>Bom</v>
      </c>
      <c r="FD130" s="20" t="str">
        <f>IF(VLOOKUP(BK130,Fundamentus!A:U,20,FALSE)&lt;0.5,"Baixa",IF(VLOOKUP(BK130,Fundamentus!A:U,20,FALSE)&lt;1,"Moderada",IF(VLOOKUP(BK130,Fundamentus!A:U,20,FALSE)&lt;2,"Alerta",IF(VLOOKUP(BK130,Fundamentus!A:U,20,FALSE)&gt;2,"Alta","n/a"))))</f>
        <v>Alta</v>
      </c>
      <c r="FE130" s="10"/>
    </row>
    <row r="131" spans="1:161" s="2" customFormat="1" ht="11.25" hidden="1"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8">
        <v>16.079999999999998</v>
      </c>
      <c r="BC131" s="62">
        <v>16.87</v>
      </c>
      <c r="BD131" s="62">
        <v>16.100000000000001</v>
      </c>
      <c r="BE131" s="62">
        <v>15.6</v>
      </c>
      <c r="BF131" s="62">
        <v>15.87</v>
      </c>
      <c r="BG131" s="81">
        <v>15.61</v>
      </c>
      <c r="BH131" s="62">
        <v>15.07</v>
      </c>
      <c r="BI131" s="62">
        <v>15.61</v>
      </c>
      <c r="BJ131" s="62" cm="1">
        <f t="array" aca="1" ref="BJ131" ca="1">_FV(EH131,"Preço")</f>
        <v>15.67</v>
      </c>
      <c r="BK131" s="83" t="s">
        <v>127</v>
      </c>
      <c r="BL131" s="44" cm="1">
        <f t="array" aca="1" ref="BL131" ca="1">_FV(EH131,"Média de volume",TRUE)</f>
        <v>4995750</v>
      </c>
      <c r="BM131" s="44">
        <v>4589600</v>
      </c>
      <c r="BN131" s="44" cm="1">
        <f t="array" aca="1" ref="BN131" ca="1">_FV(EH131,"Volume")</f>
        <v>1350300</v>
      </c>
      <c r="BO131" s="32" cm="1">
        <f t="array" aca="1" ref="BO131" ca="1">_FV(EH131,"Beta")</f>
        <v>0.96619999999999995</v>
      </c>
      <c r="BP131" s="86" cm="1">
        <f t="array" aca="1" ref="BP131" ca="1">_FV(EH131,"Variação (%)",TRUE)</f>
        <v>3.8440000000000002E-3</v>
      </c>
      <c r="BQ131" s="48"/>
      <c r="BR131" s="48"/>
      <c r="BT131" s="20" cm="1">
        <f t="array" aca="1" ref="BT131" ca="1">_FV(EH131,"Baixo")</f>
        <v>15.5</v>
      </c>
      <c r="BU131" s="20" cm="1">
        <f t="array" aca="1" ref="BU131" ca="1">_FV(EH131,"Alto")</f>
        <v>15.68</v>
      </c>
      <c r="BV131" s="32"/>
      <c r="BW131" s="73">
        <f ca="1">SQRT(22.5*(BJ131/VLOOKUP(BK131,Fundamentus!A:U,3,FALSE))*(BJ131/VLOOKUP(BK131,Fundamentus!A:U,4,FALSE)))</f>
        <v>38.462561979427662</v>
      </c>
      <c r="BY131" s="72">
        <f t="shared" ca="1" si="90"/>
        <v>3.8436899423446827E-3</v>
      </c>
      <c r="BZ131" s="8"/>
      <c r="CA131" s="71">
        <f t="shared" si="98"/>
        <v>15.07</v>
      </c>
      <c r="CB131" s="71">
        <f t="shared" si="91"/>
        <v>20.3</v>
      </c>
      <c r="CC131" s="71">
        <f t="shared" si="99"/>
        <v>17.83131147540983</v>
      </c>
      <c r="CD131" s="17"/>
      <c r="CE131" s="43">
        <f t="shared" si="96"/>
        <v>14.627247908626698</v>
      </c>
      <c r="CF131" s="18">
        <f>FORECAST("04/07/2025", BF131:BI131, $BF$5:$BI$5)</f>
        <v>15.210000000000036</v>
      </c>
      <c r="CG131" s="43">
        <f t="shared" si="97"/>
        <v>15.792752091373375</v>
      </c>
      <c r="CI131" s="17"/>
      <c r="CJ131" s="20">
        <f>CA131-2*(CB131-CM131)</f>
        <v>8.4566666666666706</v>
      </c>
      <c r="CK131" s="20">
        <f>CM131-(CB131-CA131)</f>
        <v>11.763333333333335</v>
      </c>
      <c r="CL131" s="20">
        <f>2*CM131-CB131</f>
        <v>13.686666666666671</v>
      </c>
      <c r="CM131" s="48">
        <f>(CB131+CA131+BI131)/3</f>
        <v>16.993333333333336</v>
      </c>
      <c r="CN131" s="20">
        <f>2*CM131-CA131</f>
        <v>18.916666666666671</v>
      </c>
      <c r="CO131" s="20">
        <f>CM131+(CB131-CA131)</f>
        <v>22.223333333333336</v>
      </c>
      <c r="CP131" s="20">
        <f>CB131+2*(CM131-CA131)</f>
        <v>24.146666666666672</v>
      </c>
      <c r="CQ131" s="2" cm="1">
        <f t="array" aca="1" ref="CQ131" ca="1">MAX(_xlfn._xlws.FILTER(CJ131:CP131,CJ131:CP131&lt;BJ131))</f>
        <v>13.686666666666671</v>
      </c>
      <c r="CR131" s="2" cm="1">
        <f t="array" aca="1" ref="CR131" ca="1">MIN(_xlfn._xlws.FILTER($CJ131:$CP131,$CJ131:$CP131&gt;BJ131))</f>
        <v>16.993333333333336</v>
      </c>
      <c r="CS131" s="19">
        <f t="shared" ca="1" si="117"/>
        <v>0.24159766195810994</v>
      </c>
      <c r="CT131" s="23">
        <f t="shared" ca="1" si="118"/>
        <v>-0.12079883097905497</v>
      </c>
      <c r="CU131" s="23">
        <f t="shared" ca="1" si="119"/>
        <v>-8.0532553986036648E-2</v>
      </c>
      <c r="CV131" s="23">
        <f t="shared" ca="1" si="120"/>
        <v>-4.831953239162199E-2</v>
      </c>
      <c r="CW131" s="23">
        <f t="shared" ca="1" si="121"/>
        <v>-2.6844184662012216E-2</v>
      </c>
      <c r="CX131" s="23">
        <f t="shared" ca="1" si="122"/>
        <v>-1.4211627174006466E-2</v>
      </c>
      <c r="CY131" s="23">
        <f t="shared" ca="1" si="123"/>
        <v>-7.3211412714578768E-3</v>
      </c>
      <c r="CZ131" s="23">
        <f t="shared" ca="1" si="124"/>
        <v>-3.7168871070478453E-3</v>
      </c>
      <c r="DA131" s="24">
        <f t="shared" ca="1" si="125"/>
        <v>3.7168871070478453E-3</v>
      </c>
      <c r="DB131" s="24">
        <f t="shared" ca="1" si="126"/>
        <v>7.3211412714578768E-3</v>
      </c>
      <c r="DC131" s="24">
        <f t="shared" ca="1" si="127"/>
        <v>1.4211627174006466E-2</v>
      </c>
      <c r="DD131" s="24">
        <f t="shared" ca="1" si="128"/>
        <v>2.6844184662012216E-2</v>
      </c>
      <c r="DE131" s="24">
        <f t="shared" ca="1" si="129"/>
        <v>4.831953239162199E-2</v>
      </c>
      <c r="DF131" s="24">
        <f t="shared" ca="1" si="130"/>
        <v>8.0532553986036648E-2</v>
      </c>
      <c r="DG131" s="24">
        <f t="shared" ca="1" si="131"/>
        <v>0.12079883097905497</v>
      </c>
      <c r="DI131" s="19" cm="1">
        <f t="array" aca="1" ref="DI131" ca="1">MAX(_xlfn._xlws.FILTER(CT131:DG131,CT131:DG131&lt;BP131))</f>
        <v>3.7168871070478453E-3</v>
      </c>
      <c r="DJ131" s="19" cm="1">
        <f t="array" aca="1" ref="DJ131" ca="1">MIN(_xlfn._xlws.FILTER(CT131:DG131,CT131:DG131&gt;BP131))</f>
        <v>7.3211412714578768E-3</v>
      </c>
      <c r="DK131" s="2" cm="1">
        <f t="array" aca="1" ref="DK131" ca="1">_FV(EH131,"Fechamento anterior",TRUE)</f>
        <v>15.61</v>
      </c>
      <c r="DL131" s="36">
        <f ca="1">(BJ131-DM131)/(DN131-DM131)</f>
        <v>3.5181435468371568E-2</v>
      </c>
      <c r="DM131" s="18">
        <f t="shared" ca="1" si="132"/>
        <v>15.668020607741017</v>
      </c>
      <c r="DN131" s="18">
        <f t="shared" ca="1" si="133"/>
        <v>15.724283015247456</v>
      </c>
      <c r="DO131" s="9"/>
      <c r="DP131" s="9"/>
      <c r="DQ131" s="94">
        <v>1.160702206173928E-2</v>
      </c>
      <c r="DR131" s="94">
        <v>6.3311029427668801E-3</v>
      </c>
      <c r="DS131" s="94">
        <v>1.1656704467161992E-2</v>
      </c>
      <c r="DT131" s="94">
        <f t="shared" ca="1" si="92"/>
        <v>3.6042541644100315E-3</v>
      </c>
      <c r="DU131" s="87">
        <f ca="1">(BJ131-CF131)/(CF131-CE131)</f>
        <v>0.78935795651270502</v>
      </c>
      <c r="DV131" s="46"/>
      <c r="DW131" s="43">
        <f>_xlfn.STDEV.P(BF131:BI131)</f>
        <v>0.29137604568666886</v>
      </c>
      <c r="DX131" s="76">
        <f ca="1">BO131-$DT$2</f>
        <v>-3.090000000000015E-2</v>
      </c>
      <c r="DY131" s="76">
        <f ca="1">BO131-BP131*100</f>
        <v>0.58179999999999987</v>
      </c>
      <c r="DZ131" s="101"/>
      <c r="EA131" s="100">
        <v>-2.7051000000000003</v>
      </c>
      <c r="EB131" s="107">
        <v>-1.5323000000000002</v>
      </c>
      <c r="EC131" s="107">
        <v>1.2165000000000001</v>
      </c>
      <c r="ED131" s="98">
        <f t="shared" ca="1" si="93"/>
        <v>-0.61270000000000002</v>
      </c>
      <c r="EE131" s="66"/>
      <c r="EF131" s="66"/>
      <c r="EH131" s="2" t="e" vm="130">
        <v>#VALUE!</v>
      </c>
      <c r="EJ131" s="10" cm="1">
        <f t="array" aca="1" ref="EJ131" ca="1">_FV(EH131,"Ações em circulação",TRUE)</f>
        <v>393096600</v>
      </c>
      <c r="EK131" s="21">
        <f>VLOOKUP(BK131,Fundamentus!A:U,5,FALSE)</f>
        <v>0</v>
      </c>
      <c r="EL131" s="2" t="e">
        <f ca="1">(BJ131*EJ131)/EK131</f>
        <v>#DIV/0!</v>
      </c>
      <c r="EM131" s="20" t="e">
        <v>#DIV/0!</v>
      </c>
      <c r="EN131" s="20" t="e">
        <f t="shared" ca="1" si="94"/>
        <v>#DIV/0!</v>
      </c>
      <c r="EP131" s="19" t="e">
        <f t="shared" ref="EP131:EP194" ca="1" si="134">(EN131/EM131)-1</f>
        <v>#DIV/0!</v>
      </c>
      <c r="EQ131" s="40" t="str">
        <f>IF(VLOOKUP(BK131,Fundamentus!A:U,3,FALSE)&lt;15,"Bom",IF(VLOOKUP(BK131,Fundamentus!A:U,3,FALSE)&gt;15,"Ruim","n/a"))</f>
        <v>Bom</v>
      </c>
      <c r="ER131" s="36" t="str">
        <f>IF(VLOOKUP(BK131,Fundamentus!A:U,4,FALSE)&lt;1,"Baixo",IF(VLOOKUP(BK131,Fundamentus!A:U,4,FALSE)&lt;1.5,"Moderado",IF(VLOOKUP(BK131,Fundamentus!A:U,4,FALSE)&gt;1.5,"Alto","n/a")))</f>
        <v>Baixo</v>
      </c>
      <c r="ES131" s="20" t="str">
        <f>IF(VLOOKUP(BK131,Fundamentus!A:U,8,FALSE)&lt;0,"Risco elevado",IF(VLOOKUP(BK131,Fundamentus!A:U,8,FALSE)&lt;1,"Saudável",IF(VLOOKUP(BK131,Fundamentus!A:U,8,FALSE)&lt;3,"Estável",IF(VLOOKUP(BK131,Fundamentus!A:U,8,FALSE)&gt;3,"Alerta","n/a"))))</f>
        <v>Alerta</v>
      </c>
      <c r="ET131" s="36" t="str">
        <f t="shared" si="95"/>
        <v>Ruim</v>
      </c>
      <c r="EU131" s="20" t="str">
        <f>IF(VLOOKUP(BK131,Fundamentus!A:U,12,FALSE)&lt;2,"Subvalorizada",IF(VLOOKUP(BK131,Fundamentus!A:U,12,FALSE)&lt;6,"Muita barata",IF(VLOOKUP(BK131,Fundamentus!A:U,12,FALSE)&lt;6,"Barata",IF(VLOOKUP(BK131,Fundamentus!A:U,12,FALSE)&lt;8,"Atrativa",IF(VLOOKUP(BK131,Fundamentus!A:U,12,FALSE)&gt;8,"Supervalorizada","n/a")))))</f>
        <v>Subvalorizada</v>
      </c>
      <c r="EW131" s="20" t="str">
        <f>IF(VLOOKUP(BK131,Fundamentus!A:U,17,FALSE)&lt;0.1,"Fraco retorno",IF(VLOOKUP(BK131,Fundamentus!A:U,17,FALSE)&gt;0.1,"Bom retorno","n/a"))</f>
        <v>Bom retorno</v>
      </c>
      <c r="EX131" s="20" t="str">
        <f>IF(VLOOKUP(BK131,Fundamentus!A:U,16,FALSE)&lt;0.1,"Ineficiente",IF(VLOOKUP(BK131,Fundamentus!A:U,16,FALSE)&gt;0.1,"Eficiente","n/a"))</f>
        <v>Ineficiente</v>
      </c>
      <c r="EY131" s="41" t="str">
        <f>IF(VLOOKUP(BK131,Fundamentus!A:U,16,FALSE)&lt;0.1,"Oper. Ineficiente",IF(VLOOKUP(BK131,Fundamentus!A:U,16,FALSE)&gt;0.1,"Oper.Eficiente","n/a"))</f>
        <v>Oper. Ineficiente</v>
      </c>
      <c r="EZ131" s="42">
        <f>VLOOKUP(BK131,Fundamentus!A:U,14,FALSE)</f>
        <v>0</v>
      </c>
      <c r="FA131" s="20" t="str">
        <f>IF(VLOOKUP(BK131,Fundamentus!A:U,21,FALSE)&lt;0,"Negativo",IF(VLOOKUP(BK131,Fundamentus!A:U,21,FALSE)&lt;0.05,"Fraco",IF(VLOOKUP(BK131,Fundamentus!A:U,21,FALSE)&lt;0.1,"Bom",IF(VLOOKUP(BK131,Fundamentus!A:U,21,FALSE)&gt;0.1,"Muito bom","n/a"))))</f>
        <v>Fraco</v>
      </c>
      <c r="FC131" s="37" t="str">
        <f>IF(VLOOKUP(BK131,Fundamentus!A:U,15,FALSE)&gt;1,"Bom",IF(VLOOKUP(BK131,Fundamentus!A:U,15,FALSE)&lt;1,"Ruim","n/a"))</f>
        <v>Bom</v>
      </c>
      <c r="FD131" s="20" t="str">
        <f>IF(VLOOKUP(BK131,Fundamentus!A:U,20,FALSE)&lt;0.5,"Baixa",IF(VLOOKUP(BK131,Fundamentus!A:U,20,FALSE)&lt;1,"Moderada",IF(VLOOKUP(BK131,Fundamentus!A:U,20,FALSE)&lt;2,"Alerta",IF(VLOOKUP(BK131,Fundamentus!A:U,20,FALSE)&gt;2,"Alta","n/a"))))</f>
        <v>Baixa</v>
      </c>
      <c r="FE131" s="10"/>
    </row>
    <row r="132" spans="1:161"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8">
        <v>21.04</v>
      </c>
      <c r="BC132" s="62">
        <v>22.31</v>
      </c>
      <c r="BD132" s="62">
        <v>24.28</v>
      </c>
      <c r="BE132" s="62">
        <v>23.88</v>
      </c>
      <c r="BF132" s="62">
        <v>24.29</v>
      </c>
      <c r="BG132" s="81">
        <v>26.52</v>
      </c>
      <c r="BH132" s="62">
        <v>27.51</v>
      </c>
      <c r="BI132" s="62">
        <v>27.75</v>
      </c>
      <c r="BJ132" s="62">
        <v>27.75</v>
      </c>
      <c r="BK132" s="80" t="s">
        <v>128</v>
      </c>
      <c r="BL132" s="44" cm="1">
        <f t="array" aca="1" ref="BL132" ca="1">_FV(EH132,"Média de volume",TRUE)</f>
        <v>3017430</v>
      </c>
      <c r="BM132" s="44">
        <v>1404800</v>
      </c>
      <c r="BN132" s="44" cm="1">
        <f t="array" aca="1" ref="BN132" ca="1">_FV(EH132,"Volume")</f>
        <v>711000</v>
      </c>
      <c r="BO132" s="32" cm="1">
        <f t="array" aca="1" ref="BO132" ca="1">_FV(EH132,"Beta")</f>
        <v>0.82110000000000005</v>
      </c>
      <c r="BP132" s="86" cm="1">
        <f t="array" aca="1" ref="BP132" ca="1">_FV(EH132,"Variação (%)",TRUE)</f>
        <v>2.1898000000000001E-2</v>
      </c>
      <c r="BQ132" s="48"/>
      <c r="BR132" s="48"/>
      <c r="BT132" s="20" cm="1">
        <f t="array" aca="1" ref="BT132" ca="1">_FV(EH132,"Baixo")</f>
        <v>27.33</v>
      </c>
      <c r="BU132" s="20" cm="1">
        <f t="array" aca="1" ref="BU132" ca="1">_FV(EH132,"Alto")</f>
        <v>28.29</v>
      </c>
      <c r="BV132" s="32"/>
      <c r="BW132" s="73">
        <f>SQRT(22.5*(BJ132/VLOOKUP(BK132,Fundamentus!A:U,3,FALSE))*(BJ132/VLOOKUP(BK132,Fundamentus!A:U,4,FALSE)))</f>
        <v>44.320554220663503</v>
      </c>
      <c r="BY132" s="72">
        <f t="shared" si="90"/>
        <v>0</v>
      </c>
      <c r="BZ132" s="8"/>
      <c r="CA132" s="71">
        <f t="shared" si="98"/>
        <v>19.329999999999998</v>
      </c>
      <c r="CB132" s="71">
        <f t="shared" si="91"/>
        <v>27.75</v>
      </c>
      <c r="CC132" s="71">
        <f t="shared" si="99"/>
        <v>22.457295081967214</v>
      </c>
      <c r="CD132" s="17"/>
      <c r="CE132" s="43">
        <f t="shared" si="96"/>
        <v>26.627624659750825</v>
      </c>
      <c r="CF132" s="18">
        <f>FORECAST("04/07/2025", BF132:BI132, $BF$5:$BI$5)</f>
        <v>29.359999999999673</v>
      </c>
      <c r="CG132" s="43">
        <f t="shared" si="97"/>
        <v>32.092375340248523</v>
      </c>
      <c r="CI132" s="17"/>
      <c r="CJ132" s="20">
        <f>CA132-2*(CB132-CM132)</f>
        <v>13.716666666666661</v>
      </c>
      <c r="CK132" s="20">
        <f>CM132-(CB132-CA132)</f>
        <v>16.52333333333333</v>
      </c>
      <c r="CL132" s="20">
        <f>2*CM132-CB132</f>
        <v>22.136666666666663</v>
      </c>
      <c r="CM132" s="48">
        <f>(CB132+CA132+BI132)/3</f>
        <v>24.943333333333332</v>
      </c>
      <c r="CN132" s="20">
        <f>2*CM132-CA132</f>
        <v>30.556666666666665</v>
      </c>
      <c r="CO132" s="20">
        <f>CM132+(CB132-CA132)</f>
        <v>33.36333333333333</v>
      </c>
      <c r="CP132" s="20">
        <f>CB132+2*(CM132-CA132)</f>
        <v>38.976666666666667</v>
      </c>
      <c r="CQ132" s="2" cm="1">
        <f t="array" ref="CQ132">MAX(_xlfn._xlws.FILTER(CJ132:CP132,CJ132:CP132&lt;BJ132))</f>
        <v>24.943333333333332</v>
      </c>
      <c r="CR132" s="2" cm="1">
        <f t="array" ref="CR132">MIN(_xlfn._xlws.FILTER($CJ132:$CP132,$CJ132:$CP132&gt;BJ132))</f>
        <v>30.556666666666665</v>
      </c>
      <c r="CS132" s="19">
        <f t="shared" si="117"/>
        <v>0.22504343177869846</v>
      </c>
      <c r="CT132" s="23">
        <f t="shared" si="118"/>
        <v>-0.11252171588934923</v>
      </c>
      <c r="CU132" s="23">
        <f t="shared" si="119"/>
        <v>-7.5014477259566156E-2</v>
      </c>
      <c r="CV132" s="23">
        <f t="shared" si="120"/>
        <v>-4.5008686355739694E-2</v>
      </c>
      <c r="CW132" s="23">
        <f t="shared" si="121"/>
        <v>-2.5004825753188718E-2</v>
      </c>
      <c r="CX132" s="23">
        <f t="shared" si="122"/>
        <v>-1.3237848928158732E-2</v>
      </c>
      <c r="CY132" s="23">
        <f t="shared" si="123"/>
        <v>-6.8194979326878322E-3</v>
      </c>
      <c r="CZ132" s="23">
        <f t="shared" si="124"/>
        <v>-3.4622066427492069E-3</v>
      </c>
      <c r="DA132" s="24">
        <f t="shared" si="125"/>
        <v>3.4622066427492069E-3</v>
      </c>
      <c r="DB132" s="24">
        <f t="shared" si="126"/>
        <v>6.8194979326878322E-3</v>
      </c>
      <c r="DC132" s="24">
        <f t="shared" si="127"/>
        <v>1.3237848928158732E-2</v>
      </c>
      <c r="DD132" s="24">
        <f t="shared" si="128"/>
        <v>2.5004825753188718E-2</v>
      </c>
      <c r="DE132" s="24">
        <f t="shared" si="129"/>
        <v>4.5008686355739694E-2</v>
      </c>
      <c r="DF132" s="24">
        <f t="shared" si="130"/>
        <v>7.5014477259566156E-2</v>
      </c>
      <c r="DG132" s="24">
        <f t="shared" si="131"/>
        <v>0.11252171588934923</v>
      </c>
      <c r="DI132" s="19" cm="1">
        <f t="array" aca="1" ref="DI132" ca="1">MAX(_xlfn._xlws.FILTER(CT132:DG132,CT132:DG132&lt;BP132))</f>
        <v>1.3237848928158732E-2</v>
      </c>
      <c r="DJ132" s="19" cm="1">
        <f t="array" aca="1" ref="DJ132" ca="1">MIN(_xlfn._xlws.FILTER(CT132:DG132,CT132:DG132&gt;BP132))</f>
        <v>2.5004825753188718E-2</v>
      </c>
      <c r="DK132" s="2" cm="1">
        <f t="array" aca="1" ref="DK132" ca="1">_FV(EH132,"Fechamento anterior",TRUE)</f>
        <v>27.4</v>
      </c>
      <c r="DL132" s="36">
        <f ca="1">(BJ132-DM132)/(DN132-DM132)</f>
        <v>-3.9443121824987555E-2</v>
      </c>
      <c r="DM132" s="18">
        <f t="shared" ca="1" si="132"/>
        <v>27.762717060631548</v>
      </c>
      <c r="DN132" s="18">
        <f t="shared" ca="1" si="133"/>
        <v>28.08513222563737</v>
      </c>
      <c r="DO132" s="9"/>
      <c r="DP132" s="9"/>
      <c r="DQ132" s="94">
        <v>2.3078746503579418E-2</v>
      </c>
      <c r="DR132" s="94">
        <v>9.0504888249331034E-3</v>
      </c>
      <c r="DS132" s="94">
        <v>2.6493482566440969E-2</v>
      </c>
      <c r="DT132" s="94">
        <f t="shared" ca="1" si="92"/>
        <v>1.1766976825029985E-2</v>
      </c>
      <c r="DU132" s="87">
        <f>(BJ132-CF132)/(CF132-CE132)</f>
        <v>-0.58923090700015035</v>
      </c>
      <c r="DV132" s="46"/>
      <c r="DW132" s="43">
        <f>_xlfn.STDEV.P(BF132:BI132)</f>
        <v>1.366187670124424</v>
      </c>
      <c r="DX132" s="76">
        <f ca="1">BO132-$DT$2</f>
        <v>-0.17600000000000005</v>
      </c>
      <c r="DY132" s="76">
        <f ca="1">BO132-BP132*100</f>
        <v>-1.3687</v>
      </c>
      <c r="DZ132" s="101"/>
      <c r="EA132" s="100">
        <v>1.5973999999999999</v>
      </c>
      <c r="EB132" s="107">
        <v>2.0110999999999999</v>
      </c>
      <c r="EC132" s="107">
        <v>-1.1515000000000002</v>
      </c>
      <c r="ED132" s="98">
        <f t="shared" ca="1" si="93"/>
        <v>1.1926999999999999</v>
      </c>
      <c r="EE132" s="66"/>
      <c r="EF132" s="66"/>
      <c r="EH132" s="2" t="e" vm="131">
        <v>#VALUE!</v>
      </c>
      <c r="EJ132" s="10" cm="1">
        <f t="array" aca="1" ref="EJ132" ca="1">_FV(EH132,"Ações em circulação",TRUE)</f>
        <v>380253100</v>
      </c>
      <c r="EK132" s="21">
        <f>VLOOKUP(BK132,Fundamentus!A:U,5,FALSE)</f>
        <v>1.2490000000000001</v>
      </c>
      <c r="EL132" s="2">
        <f ca="1">(BJ132*EJ132)/EK132</f>
        <v>8448377522.0176134</v>
      </c>
      <c r="EM132" s="20">
        <v>1458189960.30024</v>
      </c>
      <c r="EN132" s="20">
        <f t="shared" ca="1" si="94"/>
        <v>1458189960.30024</v>
      </c>
      <c r="EP132" s="19">
        <f t="shared" ca="1" si="134"/>
        <v>0</v>
      </c>
      <c r="EQ132" s="40" t="str">
        <f>IF(VLOOKUP(BK132,Fundamentus!A:U,3,FALSE)&lt;15,"Bom",IF(VLOOKUP(BK132,Fundamentus!A:U,3,FALSE)&gt;15,"Ruim","n/a"))</f>
        <v>Bom</v>
      </c>
      <c r="ER132" s="36" t="str">
        <f>IF(VLOOKUP(BK132,Fundamentus!A:U,4,FALSE)&lt;1,"Baixo",IF(VLOOKUP(BK132,Fundamentus!A:U,4,FALSE)&lt;1.5,"Moderado",IF(VLOOKUP(BK132,Fundamentus!A:U,4,FALSE)&gt;1.5,"Alto","n/a")))</f>
        <v>Moderado</v>
      </c>
      <c r="ES132" s="20" t="str">
        <f>IF(VLOOKUP(BK132,Fundamentus!A:U,8,FALSE)&lt;0,"Risco elevado",IF(VLOOKUP(BK132,Fundamentus!A:U,8,FALSE)&lt;1,"Saudável",IF(VLOOKUP(BK132,Fundamentus!A:U,8,FALSE)&lt;3,"Estável",IF(VLOOKUP(BK132,Fundamentus!A:U,8,FALSE)&gt;3,"Alerta","n/a"))))</f>
        <v>Alerta</v>
      </c>
      <c r="ET132" s="36" t="str">
        <f t="shared" si="95"/>
        <v>Bom</v>
      </c>
      <c r="EU132" s="20" t="str">
        <f>IF(VLOOKUP(BK132,Fundamentus!A:U,12,FALSE)&lt;2,"Subvalorizada",IF(VLOOKUP(BK132,Fundamentus!A:U,12,FALSE)&lt;6,"Muita barata",IF(VLOOKUP(BK132,Fundamentus!A:U,12,FALSE)&lt;6,"Barata",IF(VLOOKUP(BK132,Fundamentus!A:U,12,FALSE)&lt;8,"Atrativa",IF(VLOOKUP(BK132,Fundamentus!A:U,12,FALSE)&gt;8,"Supervalorizada","n/a")))))</f>
        <v>Muita barata</v>
      </c>
      <c r="EW132" s="20" t="str">
        <f>IF(VLOOKUP(BK132,Fundamentus!A:U,17,FALSE)&lt;0.1,"Fraco retorno",IF(VLOOKUP(BK132,Fundamentus!A:U,17,FALSE)&gt;0.1,"Bom retorno","n/a"))</f>
        <v>Bom retorno</v>
      </c>
      <c r="EX132" s="20" t="str">
        <f>IF(VLOOKUP(BK132,Fundamentus!A:U,16,FALSE)&lt;0.1,"Ineficiente",IF(VLOOKUP(BK132,Fundamentus!A:U,16,FALSE)&gt;0.1,"Eficiente","n/a"))</f>
        <v>Eficiente</v>
      </c>
      <c r="EY132" s="41" t="str">
        <f>IF(VLOOKUP(BK132,Fundamentus!A:U,16,FALSE)&lt;0.1,"Oper. Ineficiente",IF(VLOOKUP(BK132,Fundamentus!A:U,16,FALSE)&gt;0.1,"Oper.Eficiente","n/a"))</f>
        <v>Oper.Eficiente</v>
      </c>
      <c r="EZ132" s="42">
        <f>VLOOKUP(BK132,Fundamentus!A:U,14,FALSE)</f>
        <v>0.1726</v>
      </c>
      <c r="FA132" s="20" t="str">
        <f>IF(VLOOKUP(BK132,Fundamentus!A:U,21,FALSE)&lt;0,"Negativo",IF(VLOOKUP(BK132,Fundamentus!A:U,21,FALSE)&lt;0.05,"Fraco",IF(VLOOKUP(BK132,Fundamentus!A:U,21,FALSE)&lt;0.1,"Bom",IF(VLOOKUP(BK132,Fundamentus!A:U,21,FALSE)&gt;0.1,"Muito bom","n/a"))))</f>
        <v>Muito bom</v>
      </c>
      <c r="FC132" s="37" t="str">
        <f>IF(VLOOKUP(BK132,Fundamentus!A:U,15,FALSE)&gt;1,"Bom",IF(VLOOKUP(BK132,Fundamentus!A:U,15,FALSE)&lt;1,"Ruim","n/a"))</f>
        <v>Bom</v>
      </c>
      <c r="FD132" s="20" t="str">
        <f>IF(VLOOKUP(BK132,Fundamentus!A:U,20,FALSE)&lt;0.5,"Baixa",IF(VLOOKUP(BK132,Fundamentus!A:U,20,FALSE)&lt;1,"Moderada",IF(VLOOKUP(BK132,Fundamentus!A:U,20,FALSE)&lt;2,"Alerta",IF(VLOOKUP(BK132,Fundamentus!A:U,20,FALSE)&gt;2,"Alta","n/a"))))</f>
        <v>Moderada</v>
      </c>
      <c r="FE132" s="10"/>
    </row>
    <row r="133" spans="1:161" s="2" customFormat="1" ht="11.25" hidden="1"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8">
        <v>43.9</v>
      </c>
      <c r="BC133" s="62">
        <v>40.75</v>
      </c>
      <c r="BD133" s="62">
        <v>40.590000000000003</v>
      </c>
      <c r="BE133" s="62">
        <v>42.96</v>
      </c>
      <c r="BF133" s="62">
        <v>43.8</v>
      </c>
      <c r="BG133" s="81">
        <v>44.02</v>
      </c>
      <c r="BH133" s="62">
        <v>43.26</v>
      </c>
      <c r="BI133" s="62">
        <v>40.549999999999997</v>
      </c>
      <c r="BJ133" s="62" cm="1">
        <f t="array" aca="1" ref="BJ133" ca="1">_FV(EH133,"Preço")</f>
        <v>40.42</v>
      </c>
      <c r="BK133" s="83" t="s">
        <v>129</v>
      </c>
      <c r="BL133" s="44" cm="1">
        <f t="array" aca="1" ref="BL133" ca="1">_FV(EH133,"Média de volume",TRUE)</f>
        <v>10193080</v>
      </c>
      <c r="BM133" s="44">
        <v>14093900</v>
      </c>
      <c r="BN133" s="44" cm="1">
        <f t="array" aca="1" ref="BN133" ca="1">_FV(EH133,"Volume")</f>
        <v>3293200</v>
      </c>
      <c r="BO133" s="32" cm="1">
        <f t="array" aca="1" ref="BO133" ca="1">_FV(EH133,"Beta")</f>
        <v>1.2524999999999999</v>
      </c>
      <c r="BP133" s="86" cm="1">
        <f t="array" aca="1" ref="BP133" ca="1">_FV(EH133,"Variação (%)",TRUE)</f>
        <v>7.4780000000000003E-3</v>
      </c>
      <c r="BQ133" s="48"/>
      <c r="BR133" s="48"/>
      <c r="BT133" s="20" cm="1">
        <f t="array" aca="1" ref="BT133" ca="1">_FV(EH133,"Baixo")</f>
        <v>39.67</v>
      </c>
      <c r="BU133" s="20" cm="1">
        <f t="array" aca="1" ref="BU133" ca="1">_FV(EH133,"Alto")</f>
        <v>40.74</v>
      </c>
      <c r="BV133" s="32"/>
      <c r="BW133" s="73">
        <f ca="1">SQRT(22.5*(BJ133/VLOOKUP(BK133,Fundamentus!A:U,3,FALSE))*(BJ133/VLOOKUP(BK133,Fundamentus!A:U,4,FALSE)))</f>
        <v>28.707849755963551</v>
      </c>
      <c r="BY133" s="72">
        <f t="shared" ca="1" si="90"/>
        <v>-3.2059186189887907E-3</v>
      </c>
      <c r="BZ133" s="8"/>
      <c r="CA133" s="71">
        <f t="shared" si="98"/>
        <v>28.1</v>
      </c>
      <c r="CB133" s="71">
        <f t="shared" si="91"/>
        <v>49.88</v>
      </c>
      <c r="CC133" s="71">
        <f t="shared" si="99"/>
        <v>39.704344262295095</v>
      </c>
      <c r="CD133" s="17"/>
      <c r="CE133" s="43">
        <f t="shared" si="96"/>
        <v>37.502181611407714</v>
      </c>
      <c r="CF133" s="18">
        <f>FORECAST("04/07/2025", BF133:BI133, $BF$5:$BI$5)</f>
        <v>40.279999999999745</v>
      </c>
      <c r="CG133" s="43">
        <f t="shared" si="97"/>
        <v>43.057818388591777</v>
      </c>
      <c r="CI133" s="17"/>
      <c r="CJ133" s="20">
        <f>CA133-2*(CB133-CM133)</f>
        <v>7.3599999999999923</v>
      </c>
      <c r="CK133" s="20">
        <f>CM133-(CB133-CA133)</f>
        <v>17.729999999999997</v>
      </c>
      <c r="CL133" s="20">
        <f>2*CM133-CB133</f>
        <v>29.139999999999993</v>
      </c>
      <c r="CM133" s="48">
        <f>(CB133+CA133+BI133)/3</f>
        <v>39.51</v>
      </c>
      <c r="CN133" s="20">
        <f>2*CM133-CA133</f>
        <v>50.919999999999995</v>
      </c>
      <c r="CO133" s="20">
        <f>CM133+(CB133-CA133)</f>
        <v>61.29</v>
      </c>
      <c r="CP133" s="20">
        <f>CB133+2*(CM133-CA133)</f>
        <v>72.699999999999989</v>
      </c>
      <c r="CQ133" s="2" cm="1">
        <f t="array" aca="1" ref="CQ133" ca="1">MAX(_xlfn._xlws.FILTER(CJ133:CP133,CJ133:CP133&lt;BJ133))</f>
        <v>39.51</v>
      </c>
      <c r="CR133" s="2" cm="1">
        <f t="array" aca="1" ref="CR133" ca="1">MIN(_xlfn._xlws.FILTER($CJ133:$CP133,$CJ133:$CP133&gt;BJ133))</f>
        <v>50.919999999999995</v>
      </c>
      <c r="CS133" s="19">
        <f t="shared" ca="1" si="117"/>
        <v>0.2887876486965324</v>
      </c>
      <c r="CT133" s="23">
        <f t="shared" ca="1" si="118"/>
        <v>-0.1443938243482662</v>
      </c>
      <c r="CU133" s="23">
        <f t="shared" ca="1" si="119"/>
        <v>-9.6262549565510794E-2</v>
      </c>
      <c r="CV133" s="23">
        <f t="shared" ca="1" si="120"/>
        <v>-5.7757529739306479E-2</v>
      </c>
      <c r="CW133" s="23">
        <f t="shared" ca="1" si="121"/>
        <v>-3.2087516521836931E-2</v>
      </c>
      <c r="CX133" s="23">
        <f t="shared" ca="1" si="122"/>
        <v>-1.6987508746854847E-2</v>
      </c>
      <c r="CY133" s="23">
        <f t="shared" ca="1" si="123"/>
        <v>-8.7511408695918908E-3</v>
      </c>
      <c r="CZ133" s="23">
        <f t="shared" ca="1" si="124"/>
        <v>-4.4428869030235752E-3</v>
      </c>
      <c r="DA133" s="24">
        <f t="shared" ca="1" si="125"/>
        <v>4.4428869030235752E-3</v>
      </c>
      <c r="DB133" s="24">
        <f t="shared" ca="1" si="126"/>
        <v>8.7511408695918908E-3</v>
      </c>
      <c r="DC133" s="24">
        <f t="shared" ca="1" si="127"/>
        <v>1.6987508746854847E-2</v>
      </c>
      <c r="DD133" s="24">
        <f t="shared" ca="1" si="128"/>
        <v>3.2087516521836931E-2</v>
      </c>
      <c r="DE133" s="24">
        <f t="shared" ca="1" si="129"/>
        <v>5.7757529739306479E-2</v>
      </c>
      <c r="DF133" s="24">
        <f t="shared" ca="1" si="130"/>
        <v>9.6262549565510794E-2</v>
      </c>
      <c r="DG133" s="24">
        <f t="shared" ca="1" si="131"/>
        <v>0.1443938243482662</v>
      </c>
      <c r="DI133" s="19" cm="1">
        <f t="array" aca="1" ref="DI133" ca="1">MAX(_xlfn._xlws.FILTER(CT133:DG133,CT133:DG133&lt;BP133))</f>
        <v>4.4428869030235752E-3</v>
      </c>
      <c r="DJ133" s="19" cm="1">
        <f t="array" aca="1" ref="DJ133" ca="1">MIN(_xlfn._xlws.FILTER(CT133:DG133,CT133:DG133&gt;BP133))</f>
        <v>8.7511408695918908E-3</v>
      </c>
      <c r="DK133" s="2" cm="1">
        <f t="array" aca="1" ref="DK133" ca="1">_FV(EH133,"Fechamento anterior",TRUE)</f>
        <v>40.119999999999997</v>
      </c>
      <c r="DL133" s="36">
        <f ca="1">(BJ133-DM133)/(DN133-DM133)</f>
        <v>0.70438753579316105</v>
      </c>
      <c r="DM133" s="18">
        <f t="shared" ca="1" si="132"/>
        <v>40.298248622549302</v>
      </c>
      <c r="DN133" s="18">
        <f t="shared" ca="1" si="133"/>
        <v>40.471095771688027</v>
      </c>
      <c r="DO133" s="9"/>
      <c r="DP133" s="9"/>
      <c r="DQ133" s="94">
        <v>9.7165097855190889E-3</v>
      </c>
      <c r="DR133" s="94">
        <v>5.0824820416561379E-3</v>
      </c>
      <c r="DS133" s="94">
        <v>8.8133017737646452E-3</v>
      </c>
      <c r="DT133" s="94">
        <f t="shared" ca="1" si="92"/>
        <v>4.3082539665683156E-3</v>
      </c>
      <c r="DU133" s="87">
        <f ca="1">(BJ133-CF133)/(CF133-CE133)</f>
        <v>5.0399263168250878E-2</v>
      </c>
      <c r="DV133" s="46"/>
      <c r="DW133" s="43">
        <f>_xlfn.STDEV.P(BF133:BI133)</f>
        <v>1.3889091942960143</v>
      </c>
      <c r="DX133" s="76">
        <f ca="1">BO133-$DT$2</f>
        <v>0.25539999999999985</v>
      </c>
      <c r="DY133" s="76">
        <f ca="1">BO133-BP133*100</f>
        <v>0.50469999999999993</v>
      </c>
      <c r="DZ133" s="101"/>
      <c r="EA133" s="100">
        <v>-0.56819999999999982</v>
      </c>
      <c r="EB133" s="107">
        <v>-1.7625999999999999</v>
      </c>
      <c r="EC133" s="107">
        <v>1.5306</v>
      </c>
      <c r="ED133" s="98">
        <f t="shared" ca="1" si="93"/>
        <v>-0.24930000000000008</v>
      </c>
      <c r="EE133" s="66"/>
      <c r="EF133" s="66"/>
      <c r="EH133" s="2" t="e" vm="132">
        <v>#VALUE!</v>
      </c>
      <c r="EJ133" s="10" cm="1">
        <f t="array" aca="1" ref="EJ133" ca="1">_FV(EH133,"Ações em circulação",TRUE)</f>
        <v>1082621000</v>
      </c>
      <c r="EK133" s="21">
        <f>VLOOKUP(BK133,Fundamentus!A:U,5,FALSE)</f>
        <v>1.2310000000000001</v>
      </c>
      <c r="EL133" s="2">
        <f ca="1">(BJ133*EJ133)/EK133</f>
        <v>35547961673.436226</v>
      </c>
      <c r="EM133" s="20">
        <v>1768849687.1486595</v>
      </c>
      <c r="EN133" s="20">
        <f t="shared" ca="1" si="94"/>
        <v>1763178899.0024366</v>
      </c>
      <c r="EP133" s="19">
        <f t="shared" ca="1" si="134"/>
        <v>-3.205918618989001E-3</v>
      </c>
      <c r="EQ133" s="40" t="str">
        <f>IF(VLOOKUP(BK133,Fundamentus!A:U,3,FALSE)&lt;15,"Bom",IF(VLOOKUP(BK133,Fundamentus!A:U,3,FALSE)&gt;15,"Ruim","n/a"))</f>
        <v>Ruim</v>
      </c>
      <c r="ER133" s="36" t="str">
        <f>IF(VLOOKUP(BK133,Fundamentus!A:U,4,FALSE)&lt;1,"Baixo",IF(VLOOKUP(BK133,Fundamentus!A:U,4,FALSE)&lt;1.5,"Moderado",IF(VLOOKUP(BK133,Fundamentus!A:U,4,FALSE)&gt;1.5,"Alto","n/a")))</f>
        <v>Alto</v>
      </c>
      <c r="ES133" s="20" t="str">
        <f>IF(VLOOKUP(BK133,Fundamentus!A:U,8,FALSE)&lt;0,"Risco elevado",IF(VLOOKUP(BK133,Fundamentus!A:U,8,FALSE)&lt;1,"Saudável",IF(VLOOKUP(BK133,Fundamentus!A:U,8,FALSE)&lt;3,"Estável",IF(VLOOKUP(BK133,Fundamentus!A:U,8,FALSE)&gt;3,"Alerta","n/a"))))</f>
        <v>Alerta</v>
      </c>
      <c r="ET133" s="36" t="str">
        <f t="shared" si="95"/>
        <v>Bom</v>
      </c>
      <c r="EU133" s="20" t="str">
        <f>IF(VLOOKUP(BK133,Fundamentus!A:U,12,FALSE)&lt;2,"Subvalorizada",IF(VLOOKUP(BK133,Fundamentus!A:U,12,FALSE)&lt;6,"Muita barata",IF(VLOOKUP(BK133,Fundamentus!A:U,12,FALSE)&lt;6,"Barata",IF(VLOOKUP(BK133,Fundamentus!A:U,12,FALSE)&lt;8,"Atrativa",IF(VLOOKUP(BK133,Fundamentus!A:U,12,FALSE)&gt;8,"Supervalorizada","n/a")))))</f>
        <v>Atrativa</v>
      </c>
      <c r="EW133" s="20" t="str">
        <f>IF(VLOOKUP(BK133,Fundamentus!A:U,17,FALSE)&lt;0.1,"Fraco retorno",IF(VLOOKUP(BK133,Fundamentus!A:U,17,FALSE)&gt;0.1,"Bom retorno","n/a"))</f>
        <v>Fraco retorno</v>
      </c>
      <c r="EX133" s="20" t="str">
        <f>IF(VLOOKUP(BK133,Fundamentus!A:U,16,FALSE)&lt;0.1,"Ineficiente",IF(VLOOKUP(BK133,Fundamentus!A:U,16,FALSE)&gt;0.1,"Eficiente","n/a"))</f>
        <v>Ineficiente</v>
      </c>
      <c r="EY133" s="41" t="str">
        <f>IF(VLOOKUP(BK133,Fundamentus!A:U,16,FALSE)&lt;0.1,"Oper. Ineficiente",IF(VLOOKUP(BK133,Fundamentus!A:U,16,FALSE)&gt;0.1,"Oper.Eficiente","n/a"))</f>
        <v>Oper. Ineficiente</v>
      </c>
      <c r="EZ133" s="42">
        <f>VLOOKUP(BK133,Fundamentus!A:U,14,FALSE)</f>
        <v>4.9599999999999998E-2</v>
      </c>
      <c r="FA133" s="20" t="str">
        <f>IF(VLOOKUP(BK133,Fundamentus!A:U,21,FALSE)&lt;0,"Negativo",IF(VLOOKUP(BK133,Fundamentus!A:U,21,FALSE)&lt;0.05,"Fraco",IF(VLOOKUP(BK133,Fundamentus!A:U,21,FALSE)&lt;0.1,"Bom",IF(VLOOKUP(BK133,Fundamentus!A:U,21,FALSE)&gt;0.1,"Muito bom","n/a"))))</f>
        <v>Muito bom</v>
      </c>
      <c r="FC133" s="37" t="str">
        <f>IF(VLOOKUP(BK133,Fundamentus!A:U,15,FALSE)&gt;1,"Bom",IF(VLOOKUP(BK133,Fundamentus!A:U,15,FALSE)&lt;1,"Ruim","n/a"))</f>
        <v>Bom</v>
      </c>
      <c r="FD133" s="20" t="str">
        <f>IF(VLOOKUP(BK133,Fundamentus!A:U,20,FALSE)&lt;0.5,"Baixa",IF(VLOOKUP(BK133,Fundamentus!A:U,20,FALSE)&lt;1,"Moderada",IF(VLOOKUP(BK133,Fundamentus!A:U,20,FALSE)&lt;2,"Alerta",IF(VLOOKUP(BK133,Fundamentus!A:U,20,FALSE)&gt;2,"Alta","n/a"))))</f>
        <v>Alerta</v>
      </c>
      <c r="FE133" s="10"/>
    </row>
    <row r="134" spans="1:161" s="2" customFormat="1" ht="11.25" hidden="1"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8">
        <v>8.52</v>
      </c>
      <c r="BC134" s="62">
        <v>8.2899999999999991</v>
      </c>
      <c r="BD134" s="62">
        <v>8.25</v>
      </c>
      <c r="BE134" s="62">
        <v>9.07</v>
      </c>
      <c r="BF134" s="62">
        <v>8.99</v>
      </c>
      <c r="BG134" s="81">
        <v>8.65</v>
      </c>
      <c r="BH134" s="62">
        <v>8.8000000000000007</v>
      </c>
      <c r="BI134" s="62">
        <v>8.6199999999999992</v>
      </c>
      <c r="BJ134" s="62" cm="1">
        <f t="array" aca="1" ref="BJ134" ca="1">_FV(EH134,"Preço")</f>
        <v>8.89</v>
      </c>
      <c r="BK134" s="83" t="s">
        <v>130</v>
      </c>
      <c r="BL134" s="44" cm="1">
        <f t="array" aca="1" ref="BL134" ca="1">_FV(EH134,"Média de volume",TRUE)</f>
        <v>3054220</v>
      </c>
      <c r="BM134" s="44">
        <v>1851200</v>
      </c>
      <c r="BN134" s="44" cm="1">
        <f t="array" aca="1" ref="BN134" ca="1">_FV(EH134,"Volume")</f>
        <v>1068200</v>
      </c>
      <c r="BO134" s="32" cm="1">
        <f t="array" aca="1" ref="BO134" ca="1">_FV(EH134,"Beta")</f>
        <v>0.8639</v>
      </c>
      <c r="BP134" s="86" cm="1">
        <f t="array" aca="1" ref="BP134" ca="1">_FV(EH134,"Variação (%)",TRUE)</f>
        <v>3.1322999999999997E-2</v>
      </c>
      <c r="BQ134" s="48"/>
      <c r="BR134" s="48"/>
      <c r="BT134" s="20" cm="1">
        <f t="array" aca="1" ref="BT134" ca="1">_FV(EH134,"Baixo")</f>
        <v>8.6300000000000008</v>
      </c>
      <c r="BU134" s="20" cm="1">
        <f t="array" aca="1" ref="BU134" ca="1">_FV(EH134,"Alto")</f>
        <v>8.99</v>
      </c>
      <c r="BV134" s="32"/>
      <c r="BW134" s="73">
        <f ca="1">SQRT(22.5*(BJ134/VLOOKUP(BK134,Fundamentus!A:U,3,FALSE))*(BJ134/VLOOKUP(BK134,Fundamentus!A:U,4,FALSE)))</f>
        <v>14.712056256652053</v>
      </c>
      <c r="BY134" s="72">
        <f t="shared" ref="BY134:BY197" ca="1" si="135">(BJ134 - BI134) / BI134</f>
        <v>3.1322505800464195E-2</v>
      </c>
      <c r="BZ134" s="8"/>
      <c r="CA134" s="71">
        <f t="shared" si="98"/>
        <v>7.98</v>
      </c>
      <c r="CB134" s="71">
        <f t="shared" ref="CB134:CB197" si="136">MAX(A134:BI134)</f>
        <v>12.28</v>
      </c>
      <c r="CC134" s="71">
        <f t="shared" si="99"/>
        <v>9.8686885245901621</v>
      </c>
      <c r="CD134" s="17"/>
      <c r="CE134" s="43">
        <f t="shared" si="96"/>
        <v>8.2315719849775526</v>
      </c>
      <c r="CF134" s="18">
        <f>FORECAST("04/07/2025", BF134:BI134, $BF$5:$BI$5)</f>
        <v>8.5249999999999773</v>
      </c>
      <c r="CG134" s="43">
        <f t="shared" si="97"/>
        <v>8.8184280150224019</v>
      </c>
      <c r="CI134" s="17"/>
      <c r="CJ134" s="20">
        <f>CA134-2*(CB134-CM134)</f>
        <v>2.673333333333332</v>
      </c>
      <c r="CK134" s="20">
        <f>CM134-(CB134-CA134)</f>
        <v>5.3266666666666662</v>
      </c>
      <c r="CL134" s="20">
        <f>2*CM134-CB134</f>
        <v>6.9733333333333309</v>
      </c>
      <c r="CM134" s="48">
        <f>(CB134+CA134+BI134)/3</f>
        <v>9.6266666666666652</v>
      </c>
      <c r="CN134" s="20">
        <f>2*CM134-CA134</f>
        <v>11.27333333333333</v>
      </c>
      <c r="CO134" s="20">
        <f>CM134+(CB134-CA134)</f>
        <v>13.926666666666664</v>
      </c>
      <c r="CP134" s="20">
        <f>CB134+2*(CM134-CA134)</f>
        <v>15.573333333333329</v>
      </c>
      <c r="CQ134" s="2" cm="1">
        <f t="array" aca="1" ref="CQ134" ca="1">MAX(_xlfn._xlws.FILTER(CJ134:CP134,CJ134:CP134&lt;BJ134))</f>
        <v>6.9733333333333309</v>
      </c>
      <c r="CR134" s="2" cm="1">
        <f t="array" aca="1" ref="CR134" ca="1">MIN(_xlfn._xlws.FILTER($CJ134:$CP134,$CJ134:$CP134&gt;BJ134))</f>
        <v>9.6266666666666652</v>
      </c>
      <c r="CS134" s="19">
        <f t="shared" ca="1" si="117"/>
        <v>0.38049713193116652</v>
      </c>
      <c r="CT134" s="23">
        <f t="shared" ca="1" si="118"/>
        <v>-0.19024856596558326</v>
      </c>
      <c r="CU134" s="23">
        <f t="shared" ca="1" si="119"/>
        <v>-0.12683237731038885</v>
      </c>
      <c r="CV134" s="23">
        <f t="shared" ca="1" si="120"/>
        <v>-7.6099426386233307E-2</v>
      </c>
      <c r="CW134" s="23">
        <f t="shared" ca="1" si="121"/>
        <v>-4.227745910346295E-2</v>
      </c>
      <c r="CX134" s="23">
        <f t="shared" ca="1" si="122"/>
        <v>-2.2382184231245088E-2</v>
      </c>
      <c r="CY134" s="23">
        <f t="shared" ca="1" si="123"/>
        <v>-1.1530216119126259E-2</v>
      </c>
      <c r="CZ134" s="23">
        <f t="shared" ca="1" si="124"/>
        <v>-5.8538020297102542E-3</v>
      </c>
      <c r="DA134" s="24">
        <f t="shared" ca="1" si="125"/>
        <v>5.8538020297102542E-3</v>
      </c>
      <c r="DB134" s="24">
        <f t="shared" ca="1" si="126"/>
        <v>1.1530216119126259E-2</v>
      </c>
      <c r="DC134" s="24">
        <f t="shared" ca="1" si="127"/>
        <v>2.2382184231245088E-2</v>
      </c>
      <c r="DD134" s="24">
        <f t="shared" ca="1" si="128"/>
        <v>4.227745910346295E-2</v>
      </c>
      <c r="DE134" s="24">
        <f t="shared" ca="1" si="129"/>
        <v>7.6099426386233307E-2</v>
      </c>
      <c r="DF134" s="24">
        <f t="shared" ca="1" si="130"/>
        <v>0.12683237731038885</v>
      </c>
      <c r="DG134" s="24">
        <f t="shared" ca="1" si="131"/>
        <v>0.19024856596558326</v>
      </c>
      <c r="DI134" s="19" cm="1">
        <f t="array" aca="1" ref="DI134" ca="1">MAX(_xlfn._xlws.FILTER(CT134:DG134,CT134:DG134&lt;BP134))</f>
        <v>2.2382184231245088E-2</v>
      </c>
      <c r="DJ134" s="19" cm="1">
        <f t="array" aca="1" ref="DJ134" ca="1">MIN(_xlfn._xlws.FILTER(CT134:DG134,CT134:DG134&gt;BP134))</f>
        <v>4.227745910346295E-2</v>
      </c>
      <c r="DK134" s="2" cm="1">
        <f t="array" aca="1" ref="DK134" ca="1">_FV(EH134,"Fechamento anterior",TRUE)</f>
        <v>8.6199999999999992</v>
      </c>
      <c r="DL134" s="36">
        <f ca="1">(BJ134-DM134)/(DN134-DM134)</f>
        <v>0.44936909023074356</v>
      </c>
      <c r="DM134" s="18">
        <f t="shared" ca="1" si="132"/>
        <v>8.8129344280733317</v>
      </c>
      <c r="DN134" s="18">
        <f t="shared" ca="1" si="133"/>
        <v>8.9844316974718499</v>
      </c>
      <c r="DO134" s="9"/>
      <c r="DP134" s="9"/>
      <c r="DQ134" s="94">
        <v>2.7505112474437612E-2</v>
      </c>
      <c r="DR134" s="94">
        <v>6.3473336479471405E-3</v>
      </c>
      <c r="DS134" s="94">
        <v>1.976360928864716E-2</v>
      </c>
      <c r="DT134" s="94">
        <f t="shared" ref="DT134:DT197" ca="1" si="137">DJ134-DI134</f>
        <v>1.9895274872217861E-2</v>
      </c>
      <c r="DU134" s="87">
        <f ca="1">(BJ134-CF134)/(CF134-CE134)</f>
        <v>1.243916672278647</v>
      </c>
      <c r="DV134" s="46"/>
      <c r="DW134" s="43">
        <f>_xlfn.STDEV.P(BF134:BI134)</f>
        <v>0.14671400751121233</v>
      </c>
      <c r="DX134" s="76">
        <f ca="1">BO134-$DT$2</f>
        <v>-0.1332000000000001</v>
      </c>
      <c r="DY134" s="76">
        <f ca="1">BO134-BP134*100</f>
        <v>-2.2683999999999997</v>
      </c>
      <c r="DZ134" s="101"/>
      <c r="EA134" s="100">
        <v>0.40849999999999997</v>
      </c>
      <c r="EB134" s="107">
        <v>-2.2668999999999997</v>
      </c>
      <c r="EC134" s="107">
        <v>-0.16590000000000016</v>
      </c>
      <c r="ED134" s="98">
        <f t="shared" ref="ED134:ED185" ca="1" si="138">DX134-DY134</f>
        <v>2.1351999999999998</v>
      </c>
      <c r="EE134" s="66"/>
      <c r="EF134" s="66"/>
      <c r="EH134" s="2" t="e" vm="133">
        <v>#VALUE!</v>
      </c>
      <c r="EJ134" s="10" cm="1">
        <f t="array" aca="1" ref="EJ134" ca="1">_FV(EH134,"Ações em circulação",TRUE)</f>
        <v>329330500</v>
      </c>
      <c r="EK134" s="21">
        <f>VLOOKUP(BK134,Fundamentus!A:U,5,FALSE)</f>
        <v>0.22700000000000001</v>
      </c>
      <c r="EL134" s="2">
        <f ca="1">(BJ134*EJ134)/EK134</f>
        <v>12897568920.704845</v>
      </c>
      <c r="EM134" s="20">
        <v>576519879.96035242</v>
      </c>
      <c r="EN134" s="20">
        <f t="shared" ref="EN134:EN197" ca="1" si="139">EL134*EZ134</f>
        <v>594577927.24449337</v>
      </c>
      <c r="EP134" s="19">
        <f t="shared" ca="1" si="134"/>
        <v>3.1322505800464029E-2</v>
      </c>
      <c r="EQ134" s="40" t="str">
        <f>IF(VLOOKUP(BK134,Fundamentus!A:U,3,FALSE)&lt;15,"Bom",IF(VLOOKUP(BK134,Fundamentus!A:U,3,FALSE)&gt;15,"Ruim","n/a"))</f>
        <v>Bom</v>
      </c>
      <c r="ER134" s="36" t="str">
        <f>IF(VLOOKUP(BK134,Fundamentus!A:U,4,FALSE)&lt;1,"Baixo",IF(VLOOKUP(BK134,Fundamentus!A:U,4,FALSE)&lt;1.5,"Moderado",IF(VLOOKUP(BK134,Fundamentus!A:U,4,FALSE)&gt;1.5,"Alto","n/a")))</f>
        <v>Baixo</v>
      </c>
      <c r="ES134" s="20" t="str">
        <f>IF(VLOOKUP(BK134,Fundamentus!A:U,8,FALSE)&lt;0,"Risco elevado",IF(VLOOKUP(BK134,Fundamentus!A:U,8,FALSE)&lt;1,"Saudável",IF(VLOOKUP(BK134,Fundamentus!A:U,8,FALSE)&lt;3,"Estável",IF(VLOOKUP(BK134,Fundamentus!A:U,8,FALSE)&gt;3,"Alerta","n/a"))))</f>
        <v>Saudável</v>
      </c>
      <c r="ET134" s="36" t="str">
        <f t="shared" ref="ET134:ET197" si="140">IF(EK134&gt;1,"Bom","Ruim")</f>
        <v>Ruim</v>
      </c>
      <c r="EU134" s="20" t="str">
        <f>IF(VLOOKUP(BK134,Fundamentus!A:U,12,FALSE)&lt;2,"Subvalorizada",IF(VLOOKUP(BK134,Fundamentus!A:U,12,FALSE)&lt;6,"Muita barata",IF(VLOOKUP(BK134,Fundamentus!A:U,12,FALSE)&lt;6,"Barata",IF(VLOOKUP(BK134,Fundamentus!A:U,12,FALSE)&lt;8,"Atrativa",IF(VLOOKUP(BK134,Fundamentus!A:U,12,FALSE)&gt;8,"Supervalorizada","n/a")))))</f>
        <v>Muita barata</v>
      </c>
      <c r="EW134" s="20" t="str">
        <f>IF(VLOOKUP(BK134,Fundamentus!A:U,17,FALSE)&lt;0.1,"Fraco retorno",IF(VLOOKUP(BK134,Fundamentus!A:U,17,FALSE)&gt;0.1,"Bom retorno","n/a"))</f>
        <v>Bom retorno</v>
      </c>
      <c r="EX134" s="20" t="str">
        <f>IF(VLOOKUP(BK134,Fundamentus!A:U,16,FALSE)&lt;0.1,"Ineficiente",IF(VLOOKUP(BK134,Fundamentus!A:U,16,FALSE)&gt;0.1,"Eficiente","n/a"))</f>
        <v>Ineficiente</v>
      </c>
      <c r="EY134" s="41" t="str">
        <f>IF(VLOOKUP(BK134,Fundamentus!A:U,16,FALSE)&lt;0.1,"Oper. Ineficiente",IF(VLOOKUP(BK134,Fundamentus!A:U,16,FALSE)&gt;0.1,"Oper.Eficiente","n/a"))</f>
        <v>Oper. Ineficiente</v>
      </c>
      <c r="EZ134" s="42">
        <f>VLOOKUP(BK134,Fundamentus!A:U,14,FALSE)</f>
        <v>4.6100000000000002E-2</v>
      </c>
      <c r="FA134" s="20" t="str">
        <f>IF(VLOOKUP(BK134,Fundamentus!A:U,21,FALSE)&lt;0,"Negativo",IF(VLOOKUP(BK134,Fundamentus!A:U,21,FALSE)&lt;0.05,"Fraco",IF(VLOOKUP(BK134,Fundamentus!A:U,21,FALSE)&lt;0.1,"Bom",IF(VLOOKUP(BK134,Fundamentus!A:U,21,FALSE)&gt;0.1,"Muito bom","n/a"))))</f>
        <v>Muito bom</v>
      </c>
      <c r="FC134" s="37" t="str">
        <f>IF(VLOOKUP(BK134,Fundamentus!A:U,15,FALSE)&gt;1,"Bom",IF(VLOOKUP(BK134,Fundamentus!A:U,15,FALSE)&lt;1,"Ruim","n/a"))</f>
        <v>Bom</v>
      </c>
      <c r="FD134" s="20" t="str">
        <f>IF(VLOOKUP(BK134,Fundamentus!A:U,20,FALSE)&lt;0.5,"Baixa",IF(VLOOKUP(BK134,Fundamentus!A:U,20,FALSE)&lt;1,"Moderada",IF(VLOOKUP(BK134,Fundamentus!A:U,20,FALSE)&lt;2,"Alerta",IF(VLOOKUP(BK134,Fundamentus!A:U,20,FALSE)&gt;2,"Alta","n/a"))))</f>
        <v>Alta</v>
      </c>
      <c r="FE134" s="10"/>
    </row>
    <row r="135" spans="1:161" s="2" customFormat="1" ht="11.25" hidden="1"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8">
        <v>7.85</v>
      </c>
      <c r="BC135" s="62">
        <v>7.58</v>
      </c>
      <c r="BD135" s="62">
        <v>7.66</v>
      </c>
      <c r="BE135" s="62">
        <v>8.02</v>
      </c>
      <c r="BF135" s="62">
        <v>8.15</v>
      </c>
      <c r="BG135" s="81">
        <v>8.0299999999999994</v>
      </c>
      <c r="BH135" s="62">
        <v>8.3000000000000007</v>
      </c>
      <c r="BI135" s="62">
        <v>8.23</v>
      </c>
      <c r="BJ135" s="62" cm="1">
        <f t="array" aca="1" ref="BJ135" ca="1">_FV(EH135,"Preço")</f>
        <v>8.36</v>
      </c>
      <c r="BK135" s="83" t="s">
        <v>131</v>
      </c>
      <c r="BL135" s="44" cm="1">
        <f t="array" aca="1" ref="BL135" ca="1">_FV(EH135,"Média de volume",TRUE)</f>
        <v>3054220</v>
      </c>
      <c r="BM135" s="44">
        <v>6500</v>
      </c>
      <c r="BN135" s="44" cm="1">
        <f t="array" aca="1" ref="BN135" ca="1">_FV(EH135,"Volume")</f>
        <v>3000</v>
      </c>
      <c r="BO135" s="32" cm="1">
        <f t="array" aca="1" ref="BO135" ca="1">_FV(EH135,"Beta")</f>
        <v>0.8639</v>
      </c>
      <c r="BP135" s="86" cm="1">
        <f t="array" aca="1" ref="BP135" ca="1">_FV(EH135,"Variação (%)",TRUE)</f>
        <v>1.5795999999999998E-2</v>
      </c>
      <c r="BQ135" s="48"/>
      <c r="BR135" s="48"/>
      <c r="BT135" s="20" cm="1">
        <f t="array" aca="1" ref="BT135" ca="1">_FV(EH135,"Baixo")</f>
        <v>8.31</v>
      </c>
      <c r="BU135" s="20" cm="1">
        <f t="array" aca="1" ref="BU135" ca="1">_FV(EH135,"Alto")</f>
        <v>8.42</v>
      </c>
      <c r="BV135" s="32"/>
      <c r="BW135" s="73">
        <f ca="1">SQRT(22.5*(BJ135/VLOOKUP(BK135,Fundamentus!A:U,3,FALSE))*(BJ135/VLOOKUP(BK135,Fundamentus!A:U,4,FALSE)))</f>
        <v>14.938631292355801</v>
      </c>
      <c r="BY135" s="72">
        <f t="shared" ca="1" si="135"/>
        <v>1.5795868772782381E-2</v>
      </c>
      <c r="BZ135" s="8"/>
      <c r="CA135" s="71">
        <f t="shared" si="98"/>
        <v>7.46</v>
      </c>
      <c r="CB135" s="71">
        <f t="shared" si="136"/>
        <v>10.4</v>
      </c>
      <c r="CC135" s="71">
        <f t="shared" si="99"/>
        <v>8.5885245901639315</v>
      </c>
      <c r="CD135" s="17"/>
      <c r="CE135" s="43">
        <f t="shared" ref="CE135:CE198" si="141">CF135-DW135*2</f>
        <v>8.1043136775961102</v>
      </c>
      <c r="CF135" s="18">
        <f>FORECAST("04/07/2025", BF135:BI135, $BF$5:$BI$5)</f>
        <v>8.3050000000000068</v>
      </c>
      <c r="CG135" s="43">
        <f t="shared" ref="CG135:CG198" si="142">CF135+DW135*2</f>
        <v>8.5056863224039034</v>
      </c>
      <c r="CI135" s="17"/>
      <c r="CJ135" s="20">
        <f>CA135-2*(CB135-CM135)</f>
        <v>4.0533333333333337</v>
      </c>
      <c r="CK135" s="20">
        <f>CM135-(CB135-CA135)</f>
        <v>5.7566666666666668</v>
      </c>
      <c r="CL135" s="20">
        <f>2*CM135-CB135</f>
        <v>6.9933333333333341</v>
      </c>
      <c r="CM135" s="48">
        <f>(CB135+CA135+BI135)/3</f>
        <v>8.6966666666666672</v>
      </c>
      <c r="CN135" s="20">
        <f>2*CM135-CA135</f>
        <v>9.9333333333333336</v>
      </c>
      <c r="CO135" s="20">
        <f>CM135+(CB135-CA135)</f>
        <v>11.636666666666667</v>
      </c>
      <c r="CP135" s="20">
        <f>CB135+2*(CM135-CA135)</f>
        <v>12.873333333333335</v>
      </c>
      <c r="CQ135" s="2" cm="1">
        <f t="array" aca="1" ref="CQ135" ca="1">MAX(_xlfn._xlws.FILTER(CJ135:CP135,CJ135:CP135&lt;BJ135))</f>
        <v>6.9933333333333341</v>
      </c>
      <c r="CR135" s="2" cm="1">
        <f t="array" aca="1" ref="CR135" ca="1">MIN(_xlfn._xlws.FILTER($CJ135:$CP135,$CJ135:$CP135&gt;BJ135))</f>
        <v>8.6966666666666672</v>
      </c>
      <c r="CS135" s="19">
        <f t="shared" ca="1" si="117"/>
        <v>0.24356530028598655</v>
      </c>
      <c r="CT135" s="23">
        <f t="shared" ca="1" si="118"/>
        <v>-0.12178265014299328</v>
      </c>
      <c r="CU135" s="23">
        <f t="shared" ca="1" si="119"/>
        <v>-8.1188433428662179E-2</v>
      </c>
      <c r="CV135" s="23">
        <f t="shared" ca="1" si="120"/>
        <v>-4.8713060057197312E-2</v>
      </c>
      <c r="CW135" s="23">
        <f t="shared" ca="1" si="121"/>
        <v>-2.7062811142887395E-2</v>
      </c>
      <c r="CX135" s="23">
        <f t="shared" ca="1" si="122"/>
        <v>-1.4327370605058032E-2</v>
      </c>
      <c r="CY135" s="23">
        <f t="shared" ca="1" si="123"/>
        <v>-7.3807666753329254E-3</v>
      </c>
      <c r="CZ135" s="23">
        <f t="shared" ca="1" si="124"/>
        <v>-3.7471584659382546E-3</v>
      </c>
      <c r="DA135" s="24">
        <f t="shared" ca="1" si="125"/>
        <v>3.7471584659382546E-3</v>
      </c>
      <c r="DB135" s="24">
        <f t="shared" ca="1" si="126"/>
        <v>7.3807666753329254E-3</v>
      </c>
      <c r="DC135" s="24">
        <f t="shared" ca="1" si="127"/>
        <v>1.4327370605058032E-2</v>
      </c>
      <c r="DD135" s="24">
        <f t="shared" ca="1" si="128"/>
        <v>2.7062811142887395E-2</v>
      </c>
      <c r="DE135" s="24">
        <f t="shared" ca="1" si="129"/>
        <v>4.8713060057197312E-2</v>
      </c>
      <c r="DF135" s="24">
        <f t="shared" ca="1" si="130"/>
        <v>8.1188433428662179E-2</v>
      </c>
      <c r="DG135" s="24">
        <f t="shared" ca="1" si="131"/>
        <v>0.12178265014299328</v>
      </c>
      <c r="DI135" s="19" cm="1">
        <f t="array" aca="1" ref="DI135" ca="1">MAX(_xlfn._xlws.FILTER(CT135:DG135,CT135:DG135&lt;BP135))</f>
        <v>1.4327370605058032E-2</v>
      </c>
      <c r="DJ135" s="19" cm="1">
        <f t="array" aca="1" ref="DJ135" ca="1">MIN(_xlfn._xlws.FILTER(CT135:DG135,CT135:DG135&gt;BP135))</f>
        <v>2.7062811142887395E-2</v>
      </c>
      <c r="DK135" s="2" cm="1">
        <f t="array" aca="1" ref="DK135" ca="1">_FV(EH135,"Fechamento anterior",TRUE)</f>
        <v>8.23</v>
      </c>
      <c r="DL135" s="36">
        <f ca="1">(BJ135-DM135)/(DN135-DM135)</f>
        <v>0.11530799922957345</v>
      </c>
      <c r="DM135" s="18">
        <f t="shared" ca="1" si="132"/>
        <v>8.3479142600796283</v>
      </c>
      <c r="DN135" s="18">
        <f t="shared" ca="1" si="133"/>
        <v>8.4527269357059645</v>
      </c>
      <c r="DO135" s="9"/>
      <c r="DP135" s="9"/>
      <c r="DQ135" s="94">
        <v>1.4512471655328815E-2</v>
      </c>
      <c r="DR135" s="94">
        <v>5.0235478806907432E-3</v>
      </c>
      <c r="DS135" s="94">
        <v>7.9389997757344649E-3</v>
      </c>
      <c r="DT135" s="94">
        <f t="shared" ca="1" si="137"/>
        <v>1.2735440537829363E-2</v>
      </c>
      <c r="DU135" s="87">
        <f ca="1">(BJ135-CF135)/(CF135-CE135)</f>
        <v>0.27405953400900385</v>
      </c>
      <c r="DV135" s="46"/>
      <c r="DW135" s="43">
        <f>_xlfn.STDEV.P(BF135:BI135)</f>
        <v>0.10034316120194788</v>
      </c>
      <c r="DX135" s="76">
        <f ca="1">BO135-$DT$2</f>
        <v>-0.1332000000000001</v>
      </c>
      <c r="DY135" s="76">
        <f ca="1">BO135-BP135*100</f>
        <v>-0.71569999999999967</v>
      </c>
      <c r="DZ135" s="101"/>
      <c r="EA135" s="100">
        <v>-0.41139999999999999</v>
      </c>
      <c r="EB135" s="107">
        <v>0.16920000000000002</v>
      </c>
      <c r="EC135" s="107">
        <v>1.0387</v>
      </c>
      <c r="ED135" s="98">
        <f t="shared" ca="1" si="138"/>
        <v>0.58249999999999957</v>
      </c>
      <c r="EE135" s="66"/>
      <c r="EF135" s="66"/>
      <c r="EH135" s="2" t="e" vm="134">
        <v>#VALUE!</v>
      </c>
      <c r="EJ135" s="10" cm="1">
        <f t="array" aca="1" ref="EJ135" ca="1">_FV(EH135,"Ações em circulação",TRUE)</f>
        <v>329330500</v>
      </c>
      <c r="EK135" s="21">
        <f>VLOOKUP(BK135,Fundamentus!A:U,5,FALSE)</f>
        <v>0.21</v>
      </c>
      <c r="EL135" s="2">
        <f ca="1">(BJ135*EJ135)/EK135</f>
        <v>13110490380.952381</v>
      </c>
      <c r="EM135" s="20">
        <v>594995141.38809526</v>
      </c>
      <c r="EN135" s="20">
        <f t="shared" ca="1" si="139"/>
        <v>604393606.56190479</v>
      </c>
      <c r="EP135" s="19">
        <f t="shared" ca="1" si="134"/>
        <v>1.5795868772782606E-2</v>
      </c>
      <c r="EQ135" s="40" t="str">
        <f>IF(VLOOKUP(BK135,Fundamentus!A:U,3,FALSE)&lt;15,"Bom",IF(VLOOKUP(BK135,Fundamentus!A:U,3,FALSE)&gt;15,"Ruim","n/a"))</f>
        <v>Bom</v>
      </c>
      <c r="ER135" s="36" t="str">
        <f>IF(VLOOKUP(BK135,Fundamentus!A:U,4,FALSE)&lt;1,"Baixo",IF(VLOOKUP(BK135,Fundamentus!A:U,4,FALSE)&lt;1.5,"Moderado",IF(VLOOKUP(BK135,Fundamentus!A:U,4,FALSE)&gt;1.5,"Alto","n/a")))</f>
        <v>Baixo</v>
      </c>
      <c r="ES135" s="20" t="str">
        <f>IF(VLOOKUP(BK135,Fundamentus!A:U,8,FALSE)&lt;0,"Risco elevado",IF(VLOOKUP(BK135,Fundamentus!A:U,8,FALSE)&lt;1,"Saudável",IF(VLOOKUP(BK135,Fundamentus!A:U,8,FALSE)&lt;3,"Estável",IF(VLOOKUP(BK135,Fundamentus!A:U,8,FALSE)&gt;3,"Alerta","n/a"))))</f>
        <v>Saudável</v>
      </c>
      <c r="ET135" s="36" t="str">
        <f t="shared" si="140"/>
        <v>Ruim</v>
      </c>
      <c r="EU135" s="20" t="str">
        <f>IF(VLOOKUP(BK135,Fundamentus!A:U,12,FALSE)&lt;2,"Subvalorizada",IF(VLOOKUP(BK135,Fundamentus!A:U,12,FALSE)&lt;6,"Muita barata",IF(VLOOKUP(BK135,Fundamentus!A:U,12,FALSE)&lt;6,"Barata",IF(VLOOKUP(BK135,Fundamentus!A:U,12,FALSE)&lt;8,"Atrativa",IF(VLOOKUP(BK135,Fundamentus!A:U,12,FALSE)&gt;8,"Supervalorizada","n/a")))))</f>
        <v>Muita barata</v>
      </c>
      <c r="EW135" s="20" t="str">
        <f>IF(VLOOKUP(BK135,Fundamentus!A:U,17,FALSE)&lt;0.1,"Fraco retorno",IF(VLOOKUP(BK135,Fundamentus!A:U,17,FALSE)&gt;0.1,"Bom retorno","n/a"))</f>
        <v>Bom retorno</v>
      </c>
      <c r="EX135" s="20" t="str">
        <f>IF(VLOOKUP(BK135,Fundamentus!A:U,16,FALSE)&lt;0.1,"Ineficiente",IF(VLOOKUP(BK135,Fundamentus!A:U,16,FALSE)&gt;0.1,"Eficiente","n/a"))</f>
        <v>Ineficiente</v>
      </c>
      <c r="EY135" s="41" t="str">
        <f>IF(VLOOKUP(BK135,Fundamentus!A:U,16,FALSE)&lt;0.1,"Oper. Ineficiente",IF(VLOOKUP(BK135,Fundamentus!A:U,16,FALSE)&gt;0.1,"Oper.Eficiente","n/a"))</f>
        <v>Oper. Ineficiente</v>
      </c>
      <c r="EZ135" s="42">
        <f>VLOOKUP(BK135,Fundamentus!A:U,14,FALSE)</f>
        <v>4.6100000000000002E-2</v>
      </c>
      <c r="FA135" s="20" t="str">
        <f>IF(VLOOKUP(BK135,Fundamentus!A:U,21,FALSE)&lt;0,"Negativo",IF(VLOOKUP(BK135,Fundamentus!A:U,21,FALSE)&lt;0.05,"Fraco",IF(VLOOKUP(BK135,Fundamentus!A:U,21,FALSE)&lt;0.1,"Bom",IF(VLOOKUP(BK135,Fundamentus!A:U,21,FALSE)&gt;0.1,"Muito bom","n/a"))))</f>
        <v>Muito bom</v>
      </c>
      <c r="FC135" s="37" t="str">
        <f>IF(VLOOKUP(BK135,Fundamentus!A:U,15,FALSE)&gt;1,"Bom",IF(VLOOKUP(BK135,Fundamentus!A:U,15,FALSE)&lt;1,"Ruim","n/a"))</f>
        <v>Bom</v>
      </c>
      <c r="FD135" s="20" t="str">
        <f>IF(VLOOKUP(BK135,Fundamentus!A:U,20,FALSE)&lt;0.5,"Baixa",IF(VLOOKUP(BK135,Fundamentus!A:U,20,FALSE)&lt;1,"Moderada",IF(VLOOKUP(BK135,Fundamentus!A:U,20,FALSE)&lt;2,"Alerta",IF(VLOOKUP(BK135,Fundamentus!A:U,20,FALSE)&gt;2,"Alta","n/a"))))</f>
        <v>Alta</v>
      </c>
      <c r="FE135" s="10"/>
    </row>
    <row r="136" spans="1:161" s="2" customFormat="1" ht="11.25" hidden="1"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8">
        <v>1</v>
      </c>
      <c r="BC136" s="62">
        <v>1.01</v>
      </c>
      <c r="BD136" s="62">
        <v>0.94</v>
      </c>
      <c r="BE136" s="62">
        <v>0.98</v>
      </c>
      <c r="BF136" s="62">
        <v>0.97</v>
      </c>
      <c r="BG136" s="81">
        <v>0.96</v>
      </c>
      <c r="BH136" s="62">
        <v>0.99</v>
      </c>
      <c r="BI136" s="62">
        <v>0.89</v>
      </c>
      <c r="BJ136" s="62" cm="1">
        <f t="array" aca="1" ref="BJ136" ca="1">_FV(EH136,"Preço")</f>
        <v>0.9</v>
      </c>
      <c r="BK136" s="83" t="s">
        <v>132</v>
      </c>
      <c r="BL136" s="44" cm="1">
        <f t="array" aca="1" ref="BL136" ca="1">_FV(EH136,"Média de volume",TRUE)</f>
        <v>311450</v>
      </c>
      <c r="BM136" s="44">
        <v>116700</v>
      </c>
      <c r="BN136" s="44" cm="1">
        <f t="array" aca="1" ref="BN136" ca="1">_FV(EH136,"Volume")</f>
        <v>4300</v>
      </c>
      <c r="BO136" s="32" cm="1">
        <f t="array" aca="1" ref="BO136" ca="1">_FV(EH136,"Beta")</f>
        <v>1.5529999999999999</v>
      </c>
      <c r="BP136" s="86" cm="1">
        <f t="array" aca="1" ref="BP136" ca="1">_FV(EH136,"Variação (%)",TRUE)</f>
        <v>1.1235999999999999E-2</v>
      </c>
      <c r="BQ136" s="48"/>
      <c r="BR136" s="48"/>
      <c r="BT136" s="20" cm="1">
        <f t="array" aca="1" ref="BT136" ca="1">_FV(EH136,"Baixo")</f>
        <v>0.88</v>
      </c>
      <c r="BU136" s="20" cm="1">
        <f t="array" aca="1" ref="BU136" ca="1">_FV(EH136,"Alto")</f>
        <v>0.9</v>
      </c>
      <c r="BV136" s="32"/>
      <c r="BW136" s="73" t="e">
        <f ca="1">SQRT(22.5*(BJ136/VLOOKUP(BK136,Fundamentus!A:U,3,FALSE))*(BJ136/VLOOKUP(BK136,Fundamentus!A:U,4,FALSE)))</f>
        <v>#NUM!</v>
      </c>
      <c r="BY136" s="72">
        <f t="shared" ca="1" si="135"/>
        <v>1.1235955056179785E-2</v>
      </c>
      <c r="BZ136" s="8"/>
      <c r="CA136" s="71">
        <f t="shared" si="98"/>
        <v>0.89</v>
      </c>
      <c r="CB136" s="71">
        <f t="shared" si="136"/>
        <v>3.08</v>
      </c>
      <c r="CC136" s="71">
        <f t="shared" si="99"/>
        <v>1.807049180327869</v>
      </c>
      <c r="CD136" s="17"/>
      <c r="CE136" s="43">
        <f t="shared" si="141"/>
        <v>0.82466740413340889</v>
      </c>
      <c r="CF136" s="18">
        <f>FORECAST("04/07/2025", BF136:BI136, $BF$5:$BI$5)</f>
        <v>0.90000000000000568</v>
      </c>
      <c r="CG136" s="43">
        <f t="shared" si="142"/>
        <v>0.97533259586660248</v>
      </c>
      <c r="CI136" s="17"/>
      <c r="CJ136" s="20">
        <f>CA136-2*(CB136-CM136)</f>
        <v>-2.0299999999999998</v>
      </c>
      <c r="CK136" s="20">
        <f>CM136-(CB136-CA136)</f>
        <v>-0.56999999999999984</v>
      </c>
      <c r="CL136" s="20">
        <f>2*CM136-CB136</f>
        <v>0.16000000000000014</v>
      </c>
      <c r="CM136" s="48">
        <f>(CB136+CA136+BI136)/3</f>
        <v>1.62</v>
      </c>
      <c r="CN136" s="20">
        <f>2*CM136-CA136</f>
        <v>2.35</v>
      </c>
      <c r="CO136" s="20">
        <f>CM136+(CB136-CA136)</f>
        <v>3.81</v>
      </c>
      <c r="CP136" s="20">
        <f>CB136+2*(CM136-CA136)</f>
        <v>4.54</v>
      </c>
      <c r="CQ136" s="2" cm="1">
        <f t="array" aca="1" ref="CQ136" ca="1">MAX(_xlfn._xlws.FILTER(CJ136:CP136,CJ136:CP136&lt;BJ136))</f>
        <v>0.16000000000000014</v>
      </c>
      <c r="CR136" s="2" cm="1">
        <f t="array" aca="1" ref="CR136" ca="1">MIN(_xlfn._xlws.FILTER($CJ136:$CP136,$CJ136:$CP136&gt;BJ136))</f>
        <v>1.62</v>
      </c>
      <c r="CS136" s="19">
        <f t="shared" ca="1" si="117"/>
        <v>9.1249999999999911</v>
      </c>
      <c r="CT136" s="23">
        <f t="shared" ca="1" si="118"/>
        <v>-4.5624999999999956</v>
      </c>
      <c r="CU136" s="23">
        <f t="shared" ca="1" si="119"/>
        <v>-3.0416666666666639</v>
      </c>
      <c r="CV136" s="23">
        <f t="shared" ca="1" si="120"/>
        <v>-1.8249999999999982</v>
      </c>
      <c r="CW136" s="23">
        <f t="shared" ca="1" si="121"/>
        <v>-1.013888888888888</v>
      </c>
      <c r="CX136" s="23">
        <f t="shared" ca="1" si="122"/>
        <v>-0.53676470588235237</v>
      </c>
      <c r="CY136" s="23">
        <f t="shared" ca="1" si="123"/>
        <v>-0.27651515151515127</v>
      </c>
      <c r="CZ136" s="23">
        <f t="shared" ca="1" si="124"/>
        <v>-0.14038461538461525</v>
      </c>
      <c r="DA136" s="24">
        <f t="shared" ca="1" si="125"/>
        <v>0.14038461538461525</v>
      </c>
      <c r="DB136" s="24">
        <f t="shared" ca="1" si="126"/>
        <v>0.27651515151515127</v>
      </c>
      <c r="DC136" s="24">
        <f t="shared" ca="1" si="127"/>
        <v>0.53676470588235237</v>
      </c>
      <c r="DD136" s="24">
        <f t="shared" ca="1" si="128"/>
        <v>1.013888888888888</v>
      </c>
      <c r="DE136" s="24">
        <f t="shared" ca="1" si="129"/>
        <v>1.8249999999999982</v>
      </c>
      <c r="DF136" s="24">
        <f t="shared" ca="1" si="130"/>
        <v>3.0416666666666639</v>
      </c>
      <c r="DG136" s="24">
        <f t="shared" ca="1" si="131"/>
        <v>4.5624999999999956</v>
      </c>
      <c r="DI136" s="19" cm="1">
        <f t="array" aca="1" ref="DI136" ca="1">MAX(_xlfn._xlws.FILTER(CT136:DG136,CT136:DG136&lt;BP136))</f>
        <v>-0.14038461538461525</v>
      </c>
      <c r="DJ136" s="19" cm="1">
        <f t="array" aca="1" ref="DJ136" ca="1">MIN(_xlfn._xlws.FILTER(CT136:DG136,CT136:DG136&gt;BP136))</f>
        <v>0.14038461538461525</v>
      </c>
      <c r="DK136" s="2" cm="1">
        <f t="array" aca="1" ref="DK136" ca="1">_FV(EH136,"Fechamento anterior",TRUE)</f>
        <v>0.89</v>
      </c>
      <c r="DL136" s="36">
        <f ca="1">(BJ136-DM136)/(DN136-DM136)</f>
        <v>0.5400184700631061</v>
      </c>
      <c r="DM136" s="18">
        <f t="shared" ca="1" si="132"/>
        <v>0.76505769230769238</v>
      </c>
      <c r="DN136" s="18">
        <f t="shared" ca="1" si="133"/>
        <v>1.0149423076923076</v>
      </c>
      <c r="DO136" s="9"/>
      <c r="DP136" s="9"/>
      <c r="DQ136" s="94">
        <v>1.0769230769230662</v>
      </c>
      <c r="DR136" s="94">
        <v>1.0769230769230662</v>
      </c>
      <c r="DS136" s="94">
        <v>0.18205128205128226</v>
      </c>
      <c r="DT136" s="94">
        <f t="shared" ca="1" si="137"/>
        <v>0.28076923076923049</v>
      </c>
      <c r="DU136" s="87">
        <f ca="1">(BJ136-CF136)/(CF136-CE136)</f>
        <v>-7.5161852056912123E-14</v>
      </c>
      <c r="DV136" s="46"/>
      <c r="DW136" s="43">
        <f>_xlfn.STDEV.P(BF136:BI136)</f>
        <v>3.7666297933298398E-2</v>
      </c>
      <c r="DX136" s="76">
        <f ca="1">BO136-$DT$2</f>
        <v>0.55589999999999984</v>
      </c>
      <c r="DY136" s="76">
        <f ca="1">BO136-BP136*100</f>
        <v>0.4294</v>
      </c>
      <c r="DZ136" s="101"/>
      <c r="EA136" s="100">
        <v>0.29869999999999997</v>
      </c>
      <c r="EB136" s="107">
        <v>1.2419</v>
      </c>
      <c r="EC136" s="107">
        <v>0.18090000000000006</v>
      </c>
      <c r="ED136" s="98">
        <f t="shared" ca="1" si="138"/>
        <v>0.12649999999999983</v>
      </c>
      <c r="EE136" s="66"/>
      <c r="EF136" s="66"/>
      <c r="EH136" s="2" t="e" vm="135">
        <v>#VALUE!</v>
      </c>
      <c r="EJ136" s="10" cm="1">
        <f t="array" aca="1" ref="EJ136" ca="1">_FV(EH136,"Ações em circulação",TRUE)</f>
        <v>122763400</v>
      </c>
      <c r="EK136" s="21">
        <f>VLOOKUP(BK136,Fundamentus!A:U,5,FALSE)</f>
        <v>0.182</v>
      </c>
      <c r="EL136" s="2">
        <f ca="1">(BJ136*EJ136)/EK136</f>
        <v>607071758.24175823</v>
      </c>
      <c r="EM136" s="20">
        <v>-128649972.48241757</v>
      </c>
      <c r="EN136" s="20">
        <f t="shared" ca="1" si="139"/>
        <v>-130095477.79120879</v>
      </c>
      <c r="EP136" s="19">
        <f t="shared" ca="1" si="134"/>
        <v>1.1235955056179803E-2</v>
      </c>
      <c r="EQ136" s="40" t="str">
        <f>IF(VLOOKUP(BK136,Fundamentus!A:U,3,FALSE)&lt;15,"Bom",IF(VLOOKUP(BK136,Fundamentus!A:U,3,FALSE)&gt;15,"Ruim","n/a"))</f>
        <v>Bom</v>
      </c>
      <c r="ER136" s="36" t="str">
        <f>IF(VLOOKUP(BK136,Fundamentus!A:U,4,FALSE)&lt;1,"Baixo",IF(VLOOKUP(BK136,Fundamentus!A:U,4,FALSE)&lt;1.5,"Moderado",IF(VLOOKUP(BK136,Fundamentus!A:U,4,FALSE)&gt;1.5,"Alto","n/a")))</f>
        <v>Alto</v>
      </c>
      <c r="ES136" s="20" t="str">
        <f>IF(VLOOKUP(BK136,Fundamentus!A:U,8,FALSE)&lt;0,"Risco elevado",IF(VLOOKUP(BK136,Fundamentus!A:U,8,FALSE)&lt;1,"Saudável",IF(VLOOKUP(BK136,Fundamentus!A:U,8,FALSE)&lt;3,"Estável",IF(VLOOKUP(BK136,Fundamentus!A:U,8,FALSE)&gt;3,"Alerta","n/a"))))</f>
        <v>Alerta</v>
      </c>
      <c r="ET136" s="36" t="str">
        <f t="shared" si="140"/>
        <v>Ruim</v>
      </c>
      <c r="EU136" s="20" t="str">
        <f>IF(VLOOKUP(BK136,Fundamentus!A:U,12,FALSE)&lt;2,"Subvalorizada",IF(VLOOKUP(BK136,Fundamentus!A:U,12,FALSE)&lt;6,"Muita barata",IF(VLOOKUP(BK136,Fundamentus!A:U,12,FALSE)&lt;6,"Barata",IF(VLOOKUP(BK136,Fundamentus!A:U,12,FALSE)&lt;8,"Atrativa",IF(VLOOKUP(BK136,Fundamentus!A:U,12,FALSE)&gt;8,"Supervalorizada","n/a")))))</f>
        <v>Muita barata</v>
      </c>
      <c r="EW136" s="20" t="str">
        <f>IF(VLOOKUP(BK136,Fundamentus!A:U,17,FALSE)&lt;0.1,"Fraco retorno",IF(VLOOKUP(BK136,Fundamentus!A:U,17,FALSE)&gt;0.1,"Bom retorno","n/a"))</f>
        <v>Fraco retorno</v>
      </c>
      <c r="EX136" s="20" t="str">
        <f>IF(VLOOKUP(BK136,Fundamentus!A:U,16,FALSE)&lt;0.1,"Ineficiente",IF(VLOOKUP(BK136,Fundamentus!A:U,16,FALSE)&gt;0.1,"Eficiente","n/a"))</f>
        <v>Ineficiente</v>
      </c>
      <c r="EY136" s="41" t="str">
        <f>IF(VLOOKUP(BK136,Fundamentus!A:U,16,FALSE)&lt;0.1,"Oper. Ineficiente",IF(VLOOKUP(BK136,Fundamentus!A:U,16,FALSE)&gt;0.1,"Oper.Eficiente","n/a"))</f>
        <v>Oper. Ineficiente</v>
      </c>
      <c r="EZ136" s="42">
        <f>VLOOKUP(BK136,Fundamentus!A:U,14,FALSE)</f>
        <v>-0.21429999999999999</v>
      </c>
      <c r="FA136" s="20" t="str">
        <f>IF(VLOOKUP(BK136,Fundamentus!A:U,21,FALSE)&lt;0,"Negativo",IF(VLOOKUP(BK136,Fundamentus!A:U,21,FALSE)&lt;0.05,"Fraco",IF(VLOOKUP(BK136,Fundamentus!A:U,21,FALSE)&lt;0.1,"Bom",IF(VLOOKUP(BK136,Fundamentus!A:U,21,FALSE)&gt;0.1,"Muito bom","n/a"))))</f>
        <v>Negativo</v>
      </c>
      <c r="FC136" s="37" t="str">
        <f>IF(VLOOKUP(BK136,Fundamentus!A:U,15,FALSE)&gt;1,"Bom",IF(VLOOKUP(BK136,Fundamentus!A:U,15,FALSE)&lt;1,"Ruim","n/a"))</f>
        <v>Bom</v>
      </c>
      <c r="FD136" s="20" t="str">
        <f>IF(VLOOKUP(BK136,Fundamentus!A:U,20,FALSE)&lt;0.5,"Baixa",IF(VLOOKUP(BK136,Fundamentus!A:U,20,FALSE)&lt;1,"Moderada",IF(VLOOKUP(BK136,Fundamentus!A:U,20,FALSE)&lt;2,"Alerta",IF(VLOOKUP(BK136,Fundamentus!A:U,20,FALSE)&gt;2,"Alta","n/a"))))</f>
        <v>Alerta</v>
      </c>
      <c r="FE136" s="10"/>
    </row>
    <row r="137" spans="1:161" s="2" customFormat="1" ht="11.25" hidden="1"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8">
        <v>8.35</v>
      </c>
      <c r="BC137" s="62">
        <v>8.67</v>
      </c>
      <c r="BD137" s="62">
        <v>8.51</v>
      </c>
      <c r="BE137" s="62">
        <v>8.36</v>
      </c>
      <c r="BF137" s="62">
        <v>9.2200000000000006</v>
      </c>
      <c r="BG137" s="81">
        <v>9.19</v>
      </c>
      <c r="BH137" s="62">
        <v>8.91</v>
      </c>
      <c r="BI137" s="62">
        <v>8.82</v>
      </c>
      <c r="BJ137" s="62" cm="1">
        <f t="array" aca="1" ref="BJ137" ca="1">_FV(EH137,"Preço")</f>
        <v>8.84</v>
      </c>
      <c r="BK137" s="83" t="s">
        <v>133</v>
      </c>
      <c r="BL137" s="44" cm="1">
        <f t="array" aca="1" ref="BL137" ca="1">_FV(EH137,"Média de volume",TRUE)</f>
        <v>5871070</v>
      </c>
      <c r="BM137" s="44">
        <v>5136400</v>
      </c>
      <c r="BN137" s="44" cm="1">
        <f t="array" aca="1" ref="BN137" ca="1">_FV(EH137,"Volume")</f>
        <v>1649200</v>
      </c>
      <c r="BO137" s="32" cm="1">
        <f t="array" aca="1" ref="BO137" ca="1">_FV(EH137,"Beta")</f>
        <v>0.6946</v>
      </c>
      <c r="BP137" s="86" cm="1">
        <f t="array" aca="1" ref="BP137" ca="1">_FV(EH137,"Variação (%)",TRUE)</f>
        <v>2.2680000000000001E-3</v>
      </c>
      <c r="BQ137" s="48"/>
      <c r="BR137" s="48"/>
      <c r="BT137" s="20" cm="1">
        <f t="array" aca="1" ref="BT137" ca="1">_FV(EH137,"Baixo")</f>
        <v>8.7100000000000009</v>
      </c>
      <c r="BU137" s="20" cm="1">
        <f t="array" aca="1" ref="BU137" ca="1">_FV(EH137,"Alto")</f>
        <v>8.9</v>
      </c>
      <c r="BV137" s="32"/>
      <c r="BW137" s="73">
        <f ca="1">SQRT(22.5*(BJ137/VLOOKUP(BK137,Fundamentus!A:U,3,FALSE))*(BJ137/VLOOKUP(BK137,Fundamentus!A:U,4,FALSE)))</f>
        <v>21.385427841305351</v>
      </c>
      <c r="BY137" s="72">
        <f t="shared" ca="1" si="135"/>
        <v>2.2675736961450762E-3</v>
      </c>
      <c r="BZ137" s="8"/>
      <c r="CA137" s="71">
        <f t="shared" si="98"/>
        <v>8.16</v>
      </c>
      <c r="CB137" s="71">
        <f t="shared" si="136"/>
        <v>11.57</v>
      </c>
      <c r="CC137" s="71">
        <f t="shared" si="99"/>
        <v>9.9816393442622964</v>
      </c>
      <c r="CD137" s="17"/>
      <c r="CE137" s="43">
        <f t="shared" si="141"/>
        <v>8.3184455309766943</v>
      </c>
      <c r="CF137" s="18">
        <f>FORECAST("04/07/2025", BF137:BI137, $BF$5:$BI$5)</f>
        <v>8.6649999999999636</v>
      </c>
      <c r="CG137" s="43">
        <f t="shared" si="142"/>
        <v>9.011554469023233</v>
      </c>
      <c r="CI137" s="17"/>
      <c r="CJ137" s="20">
        <f>CA137-2*(CB137-CM137)</f>
        <v>4.0533333333333346</v>
      </c>
      <c r="CK137" s="20">
        <f>CM137-(CB137-CA137)</f>
        <v>6.1066666666666674</v>
      </c>
      <c r="CL137" s="20">
        <f>2*CM137-CB137</f>
        <v>7.4633333333333347</v>
      </c>
      <c r="CM137" s="48">
        <f>(CB137+CA137+BI137)/3</f>
        <v>9.5166666666666675</v>
      </c>
      <c r="CN137" s="20">
        <f>2*CM137-CA137</f>
        <v>10.873333333333335</v>
      </c>
      <c r="CO137" s="20">
        <f>CM137+(CB137-CA137)</f>
        <v>12.926666666666668</v>
      </c>
      <c r="CP137" s="20">
        <f>CB137+2*(CM137-CA137)</f>
        <v>14.283333333333335</v>
      </c>
      <c r="CQ137" s="2" cm="1">
        <f t="array" aca="1" ref="CQ137" ca="1">MAX(_xlfn._xlws.FILTER(CJ137:CP137,CJ137:CP137&lt;BJ137))</f>
        <v>7.4633333333333347</v>
      </c>
      <c r="CR137" s="2" cm="1">
        <f t="array" aca="1" ref="CR137" ca="1">MIN(_xlfn._xlws.FILTER($CJ137:$CP137,$CJ137:$CP137&gt;BJ137))</f>
        <v>9.5166666666666675</v>
      </c>
      <c r="CS137" s="19">
        <f t="shared" ca="1" si="117"/>
        <v>0.27512282268870014</v>
      </c>
      <c r="CT137" s="23">
        <f t="shared" ca="1" si="118"/>
        <v>-0.13756141134435007</v>
      </c>
      <c r="CU137" s="23">
        <f t="shared" ca="1" si="119"/>
        <v>-9.1707607562900043E-2</v>
      </c>
      <c r="CV137" s="23">
        <f t="shared" ca="1" si="120"/>
        <v>-5.5024564537740031E-2</v>
      </c>
      <c r="CW137" s="23">
        <f t="shared" ca="1" si="121"/>
        <v>-3.0569202520966683E-2</v>
      </c>
      <c r="CX137" s="23">
        <f t="shared" ca="1" si="122"/>
        <v>-1.6183695452276478E-2</v>
      </c>
      <c r="CY137" s="23">
        <f t="shared" ca="1" si="123"/>
        <v>-8.3370552329909142E-3</v>
      </c>
      <c r="CZ137" s="23">
        <f t="shared" ca="1" si="124"/>
        <v>-4.2326588105953871E-3</v>
      </c>
      <c r="DA137" s="24">
        <f t="shared" ca="1" si="125"/>
        <v>4.2326588105953871E-3</v>
      </c>
      <c r="DB137" s="24">
        <f t="shared" ca="1" si="126"/>
        <v>8.3370552329909142E-3</v>
      </c>
      <c r="DC137" s="24">
        <f t="shared" ca="1" si="127"/>
        <v>1.6183695452276478E-2</v>
      </c>
      <c r="DD137" s="24">
        <f t="shared" ca="1" si="128"/>
        <v>3.0569202520966683E-2</v>
      </c>
      <c r="DE137" s="24">
        <f t="shared" ca="1" si="129"/>
        <v>5.5024564537740031E-2</v>
      </c>
      <c r="DF137" s="24">
        <f t="shared" ca="1" si="130"/>
        <v>9.1707607562900043E-2</v>
      </c>
      <c r="DG137" s="24">
        <f t="shared" ca="1" si="131"/>
        <v>0.13756141134435007</v>
      </c>
      <c r="DI137" s="19" cm="1">
        <f t="array" aca="1" ref="DI137" ca="1">MAX(_xlfn._xlws.FILTER(CT137:DG137,CT137:DG137&lt;BP137))</f>
        <v>-4.2326588105953871E-3</v>
      </c>
      <c r="DJ137" s="19" cm="1">
        <f t="array" aca="1" ref="DJ137" ca="1">MIN(_xlfn._xlws.FILTER(CT137:DG137,CT137:DG137&gt;BP137))</f>
        <v>4.2326588105953871E-3</v>
      </c>
      <c r="DK137" s="2" cm="1">
        <f t="array" aca="1" ref="DK137" ca="1">_FV(EH137,"Fechamento anterior",TRUE)</f>
        <v>8.82</v>
      </c>
      <c r="DL137" s="36">
        <f ca="1">(BJ137-DM137)/(DN137-DM137)</f>
        <v>0.76786634567245837</v>
      </c>
      <c r="DM137" s="18">
        <f t="shared" ca="1" si="132"/>
        <v>8.7826679492905484</v>
      </c>
      <c r="DN137" s="18">
        <f t="shared" ca="1" si="133"/>
        <v>8.8573320507094522</v>
      </c>
      <c r="DO137" s="9"/>
      <c r="DP137" s="9"/>
      <c r="DQ137" s="94">
        <v>2.8340769067346498E-2</v>
      </c>
      <c r="DR137" s="94">
        <v>3.6800644011270225E-3</v>
      </c>
      <c r="DS137" s="94">
        <v>3.734441088526691E-3</v>
      </c>
      <c r="DT137" s="94">
        <f t="shared" ca="1" si="137"/>
        <v>8.4653176211907741E-3</v>
      </c>
      <c r="DU137" s="87">
        <f ca="1">(BJ137-CF137)/(CF137-CE137)</f>
        <v>0.5049711247217703</v>
      </c>
      <c r="DV137" s="46"/>
      <c r="DW137" s="43">
        <f>_xlfn.STDEV.P(BF137:BI137)</f>
        <v>0.17327723451163451</v>
      </c>
      <c r="DX137" s="76">
        <f ca="1">BO137-$DT$2</f>
        <v>-0.3025000000000001</v>
      </c>
      <c r="DY137" s="76">
        <f ca="1">BO137-BP137*100</f>
        <v>0.46779999999999999</v>
      </c>
      <c r="DZ137" s="101"/>
      <c r="EA137" s="100">
        <v>-0.45720000000000005</v>
      </c>
      <c r="EB137" s="107">
        <v>-1.8048999999999999</v>
      </c>
      <c r="EC137" s="107">
        <v>-0.94020000000000015</v>
      </c>
      <c r="ED137" s="98">
        <f t="shared" ca="1" si="138"/>
        <v>-0.7703000000000001</v>
      </c>
      <c r="EE137" s="66"/>
      <c r="EF137" s="66"/>
      <c r="EH137" s="2" t="e" vm="136">
        <v>#VALUE!</v>
      </c>
      <c r="EJ137" s="10" cm="1">
        <f t="array" aca="1" ref="EJ137" ca="1">_FV(EH137,"Ações em circulação",TRUE)</f>
        <v>993705800</v>
      </c>
      <c r="EK137" s="21">
        <f>VLOOKUP(BK137,Fundamentus!A:U,5,FALSE)</f>
        <v>0.13400000000000001</v>
      </c>
      <c r="EL137" s="2">
        <f ca="1">(BJ137*EJ137)/EK137</f>
        <v>65554919940.2985</v>
      </c>
      <c r="EM137" s="20">
        <v>3178761034.1910443</v>
      </c>
      <c r="EN137" s="20">
        <f t="shared" ca="1" si="139"/>
        <v>3185969109.0985069</v>
      </c>
      <c r="EP137" s="19">
        <f t="shared" ca="1" si="134"/>
        <v>2.2675736961450532E-3</v>
      </c>
      <c r="EQ137" s="40" t="str">
        <f>IF(VLOOKUP(BK137,Fundamentus!A:U,3,FALSE)&lt;15,"Bom",IF(VLOOKUP(BK137,Fundamentus!A:U,3,FALSE)&gt;15,"Ruim","n/a"))</f>
        <v>Bom</v>
      </c>
      <c r="ER137" s="36" t="str">
        <f>IF(VLOOKUP(BK137,Fundamentus!A:U,4,FALSE)&lt;1,"Baixo",IF(VLOOKUP(BK137,Fundamentus!A:U,4,FALSE)&lt;1.5,"Moderado",IF(VLOOKUP(BK137,Fundamentus!A:U,4,FALSE)&gt;1.5,"Alto","n/a")))</f>
        <v>Baixo</v>
      </c>
      <c r="ES137" s="20" t="str">
        <f>IF(VLOOKUP(BK137,Fundamentus!A:U,8,FALSE)&lt;0,"Risco elevado",IF(VLOOKUP(BK137,Fundamentus!A:U,8,FALSE)&lt;1,"Saudável",IF(VLOOKUP(BK137,Fundamentus!A:U,8,FALSE)&lt;3,"Estável",IF(VLOOKUP(BK137,Fundamentus!A:U,8,FALSE)&gt;3,"Alerta","n/a"))))</f>
        <v>Saudável</v>
      </c>
      <c r="ET137" s="36" t="str">
        <f t="shared" si="140"/>
        <v>Ruim</v>
      </c>
      <c r="EU137" s="20" t="str">
        <f>IF(VLOOKUP(BK137,Fundamentus!A:U,12,FALSE)&lt;2,"Subvalorizada",IF(VLOOKUP(BK137,Fundamentus!A:U,12,FALSE)&lt;6,"Muita barata",IF(VLOOKUP(BK137,Fundamentus!A:U,12,FALSE)&lt;6,"Barata",IF(VLOOKUP(BK137,Fundamentus!A:U,12,FALSE)&lt;8,"Atrativa",IF(VLOOKUP(BK137,Fundamentus!A:U,12,FALSE)&gt;8,"Supervalorizada","n/a")))))</f>
        <v>Subvalorizada</v>
      </c>
      <c r="EW137" s="20" t="str">
        <f>IF(VLOOKUP(BK137,Fundamentus!A:U,17,FALSE)&lt;0.1,"Fraco retorno",IF(VLOOKUP(BK137,Fundamentus!A:U,17,FALSE)&gt;0.1,"Bom retorno","n/a"))</f>
        <v>Fraco retorno</v>
      </c>
      <c r="EX137" s="20" t="str">
        <f>IF(VLOOKUP(BK137,Fundamentus!A:U,16,FALSE)&lt;0.1,"Ineficiente",IF(VLOOKUP(BK137,Fundamentus!A:U,16,FALSE)&gt;0.1,"Eficiente","n/a"))</f>
        <v>Ineficiente</v>
      </c>
      <c r="EY137" s="41" t="str">
        <f>IF(VLOOKUP(BK137,Fundamentus!A:U,16,FALSE)&lt;0.1,"Oper. Ineficiente",IF(VLOOKUP(BK137,Fundamentus!A:U,16,FALSE)&gt;0.1,"Oper.Eficiente","n/a"))</f>
        <v>Oper. Ineficiente</v>
      </c>
      <c r="EZ137" s="42">
        <f>VLOOKUP(BK137,Fundamentus!A:U,14,FALSE)</f>
        <v>4.8599999999999997E-2</v>
      </c>
      <c r="FA137" s="20" t="str">
        <f>IF(VLOOKUP(BK137,Fundamentus!A:U,21,FALSE)&lt;0,"Negativo",IF(VLOOKUP(BK137,Fundamentus!A:U,21,FALSE)&lt;0.05,"Fraco",IF(VLOOKUP(BK137,Fundamentus!A:U,21,FALSE)&lt;0.1,"Bom",IF(VLOOKUP(BK137,Fundamentus!A:U,21,FALSE)&gt;0.1,"Muito bom","n/a"))))</f>
        <v>Fraco</v>
      </c>
      <c r="FC137" s="37" t="str">
        <f>IF(VLOOKUP(BK137,Fundamentus!A:U,15,FALSE)&gt;1,"Bom",IF(VLOOKUP(BK137,Fundamentus!A:U,15,FALSE)&lt;1,"Ruim","n/a"))</f>
        <v>Bom</v>
      </c>
      <c r="FD137" s="20" t="str">
        <f>IF(VLOOKUP(BK137,Fundamentus!A:U,20,FALSE)&lt;0.5,"Baixa",IF(VLOOKUP(BK137,Fundamentus!A:U,20,FALSE)&lt;1,"Moderada",IF(VLOOKUP(BK137,Fundamentus!A:U,20,FALSE)&lt;2,"Alerta",IF(VLOOKUP(BK137,Fundamentus!A:U,20,FALSE)&gt;2,"Alta","n/a"))))</f>
        <v>Moderada</v>
      </c>
      <c r="FE137" s="10"/>
    </row>
    <row r="138" spans="1:161" s="2" customFormat="1" ht="11.25" hidden="1"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8">
        <v>3.75</v>
      </c>
      <c r="BC138" s="62">
        <v>4.09</v>
      </c>
      <c r="BD138" s="62">
        <v>4.05</v>
      </c>
      <c r="BE138" s="62">
        <v>3.85</v>
      </c>
      <c r="BF138" s="62">
        <v>3.99</v>
      </c>
      <c r="BG138" s="81">
        <v>3.98</v>
      </c>
      <c r="BH138" s="62">
        <v>3.83</v>
      </c>
      <c r="BI138" s="62">
        <v>3.95</v>
      </c>
      <c r="BJ138" s="62" cm="1">
        <f t="array" aca="1" ref="BJ138" ca="1">_FV(EH138,"Preço")</f>
        <v>3.95</v>
      </c>
      <c r="BK138" s="83" t="s">
        <v>134</v>
      </c>
      <c r="BL138" s="44" t="e" cm="1" vm="3">
        <f t="array" ref="BL138">_FV(EH138,"Média de volume",TRUE)</f>
        <v>#VALUE!</v>
      </c>
      <c r="BM138" s="44">
        <v>200</v>
      </c>
      <c r="BN138" s="44" cm="1">
        <f t="array" aca="1" ref="BN138" ca="1">_FV(EH138,"Volume")</f>
        <v>2600</v>
      </c>
      <c r="BO138" s="32" t="e" cm="1" vm="137">
        <f t="array" ref="BO138">_FV(EH138,"Beta")</f>
        <v>#VALUE!</v>
      </c>
      <c r="BP138" s="86" cm="1">
        <f t="array" aca="1" ref="BP138" ca="1">_FV(EH138,"Variação (%)",TRUE)</f>
        <v>0</v>
      </c>
      <c r="BQ138" s="48"/>
      <c r="BR138" s="48"/>
      <c r="BT138" s="20" cm="1">
        <f t="array" aca="1" ref="BT138" ca="1">_FV(EH138,"Baixo")</f>
        <v>3.9</v>
      </c>
      <c r="BU138" s="20" cm="1">
        <f t="array" aca="1" ref="BU138" ca="1">_FV(EH138,"Alto")</f>
        <v>3.95</v>
      </c>
      <c r="BV138" s="32"/>
      <c r="BW138" s="73" t="e">
        <f ca="1">SQRT(22.5*(BJ138/VLOOKUP(BK138,Fundamentus!A:U,3,FALSE))*(BJ138/VLOOKUP(BK138,Fundamentus!A:U,4,FALSE)))</f>
        <v>#NUM!</v>
      </c>
      <c r="BY138" s="72">
        <f t="shared" ca="1" si="135"/>
        <v>0</v>
      </c>
      <c r="BZ138" s="8"/>
      <c r="CA138" s="71">
        <f t="shared" si="98"/>
        <v>3.73</v>
      </c>
      <c r="CB138" s="71">
        <f t="shared" si="136"/>
        <v>4.57</v>
      </c>
      <c r="CC138" s="71">
        <f t="shared" si="99"/>
        <v>4.0793442622950824</v>
      </c>
      <c r="CD138" s="17"/>
      <c r="CE138" s="43">
        <f t="shared" si="141"/>
        <v>3.7424264917782737</v>
      </c>
      <c r="CF138" s="18">
        <f>FORECAST("04/07/2025", BF138:BI138, $BF$5:$BI$5)</f>
        <v>3.8700000000000045</v>
      </c>
      <c r="CG138" s="43">
        <f t="shared" si="142"/>
        <v>3.9975735082217354</v>
      </c>
      <c r="CI138" s="17"/>
      <c r="CJ138" s="20">
        <f>CA138-2*(CB138-CM138)</f>
        <v>2.7566666666666655</v>
      </c>
      <c r="CK138" s="20">
        <f>CM138-(CB138-CA138)</f>
        <v>3.2433333333333327</v>
      </c>
      <c r="CL138" s="20">
        <f>2*CM138-CB138</f>
        <v>3.5966666666666658</v>
      </c>
      <c r="CM138" s="48">
        <f>(CB138+CA138+BI138)/3</f>
        <v>4.083333333333333</v>
      </c>
      <c r="CN138" s="20">
        <f>2*CM138-CA138</f>
        <v>4.4366666666666656</v>
      </c>
      <c r="CO138" s="20">
        <f>CM138+(CB138-CA138)</f>
        <v>4.9233333333333338</v>
      </c>
      <c r="CP138" s="20">
        <f>CB138+2*(CM138-CA138)</f>
        <v>5.2766666666666664</v>
      </c>
      <c r="CQ138" s="2" cm="1">
        <f t="array" aca="1" ref="CQ138" ca="1">MAX(_xlfn._xlws.FILTER(CJ138:CP138,CJ138:CP138&lt;BJ138))</f>
        <v>3.5966666666666658</v>
      </c>
      <c r="CR138" s="2" cm="1">
        <f t="array" aca="1" ref="CR138" ca="1">MIN(_xlfn._xlws.FILTER($CJ138:$CP138,$CJ138:$CP138&gt;BJ138))</f>
        <v>4.083333333333333</v>
      </c>
      <c r="CS138" s="19">
        <f t="shared" ca="1" si="117"/>
        <v>0.1353104726598704</v>
      </c>
      <c r="CT138" s="23">
        <f t="shared" ca="1" si="118"/>
        <v>-6.7655236329935198E-2</v>
      </c>
      <c r="CU138" s="23">
        <f t="shared" ca="1" si="119"/>
        <v>-4.5103490886623465E-2</v>
      </c>
      <c r="CV138" s="23">
        <f t="shared" ca="1" si="120"/>
        <v>-2.7062094531974078E-2</v>
      </c>
      <c r="CW138" s="23">
        <f t="shared" ca="1" si="121"/>
        <v>-1.5034496962207822E-2</v>
      </c>
      <c r="CX138" s="23">
        <f t="shared" ca="1" si="122"/>
        <v>-7.9594395682276702E-3</v>
      </c>
      <c r="CY138" s="23">
        <f t="shared" ca="1" si="123"/>
        <v>-4.1003173533294057E-3</v>
      </c>
      <c r="CZ138" s="23">
        <f t="shared" ca="1" si="124"/>
        <v>-2.0816995793826215E-3</v>
      </c>
      <c r="DA138" s="24">
        <f t="shared" ca="1" si="125"/>
        <v>2.0816995793826215E-3</v>
      </c>
      <c r="DB138" s="24">
        <f t="shared" ca="1" si="126"/>
        <v>4.1003173533294057E-3</v>
      </c>
      <c r="DC138" s="24">
        <f t="shared" ca="1" si="127"/>
        <v>7.9594395682276702E-3</v>
      </c>
      <c r="DD138" s="24">
        <f t="shared" ca="1" si="128"/>
        <v>1.5034496962207822E-2</v>
      </c>
      <c r="DE138" s="24">
        <f t="shared" ca="1" si="129"/>
        <v>2.7062094531974078E-2</v>
      </c>
      <c r="DF138" s="24">
        <f t="shared" ca="1" si="130"/>
        <v>4.5103490886623465E-2</v>
      </c>
      <c r="DG138" s="24">
        <f t="shared" ca="1" si="131"/>
        <v>6.7655236329935198E-2</v>
      </c>
      <c r="DI138" s="19" cm="1">
        <f t="array" aca="1" ref="DI138" ca="1">MAX(_xlfn._xlws.FILTER(CT138:DG138,CT138:DG138&lt;BP138))</f>
        <v>-2.0816995793826215E-3</v>
      </c>
      <c r="DJ138" s="19" cm="1">
        <f t="array" aca="1" ref="DJ138" ca="1">MIN(_xlfn._xlws.FILTER(CT138:DG138,CT138:DG138&gt;BP138))</f>
        <v>2.0816995793826215E-3</v>
      </c>
      <c r="DK138" s="2" cm="1">
        <f t="array" aca="1" ref="DK138" ca="1">_FV(EH138,"Fechamento anterior",TRUE)</f>
        <v>3.95</v>
      </c>
      <c r="DL138" s="36">
        <f ca="1">(BJ138-DM138)/(DN138-DM138)</f>
        <v>0.5</v>
      </c>
      <c r="DM138" s="18">
        <f t="shared" ca="1" si="132"/>
        <v>3.9417772866614387</v>
      </c>
      <c r="DN138" s="18">
        <f t="shared" ca="1" si="133"/>
        <v>3.9582227133385617</v>
      </c>
      <c r="DO138" s="9"/>
      <c r="DP138" s="9"/>
      <c r="DQ138" s="94">
        <v>4.9944258639910847E-3</v>
      </c>
      <c r="DR138" s="94">
        <v>2.4215398128441617E-3</v>
      </c>
      <c r="DS138" s="94">
        <v>4.0552995391705052E-3</v>
      </c>
      <c r="DT138" s="94">
        <f t="shared" ca="1" si="137"/>
        <v>4.1633991587652431E-3</v>
      </c>
      <c r="DU138" s="87">
        <f ca="1">(BJ138-CF138)/(CF138-CE138)</f>
        <v>0.62708944133566158</v>
      </c>
      <c r="DV138" s="46"/>
      <c r="DW138" s="43">
        <f>_xlfn.STDEV.P(BF138:BI138)</f>
        <v>6.3786754110865387E-2</v>
      </c>
      <c r="DX138" s="76" t="e" vm="138">
        <f ca="1">BO138-$DT$2</f>
        <v>#VALUE!</v>
      </c>
      <c r="DY138" s="76" t="e" vm="138">
        <f ca="1">BO138-BP138*100</f>
        <v>#VALUE!</v>
      </c>
      <c r="DZ138" s="101"/>
      <c r="EA138" s="100" t="e" vm="138">
        <v>#VALUE!</v>
      </c>
      <c r="EB138" s="107" t="e" vm="138">
        <v>#VALUE!</v>
      </c>
      <c r="EC138" s="107" t="e" vm="138">
        <v>#VALUE!</v>
      </c>
      <c r="ED138" s="98" t="e" vm="138">
        <f t="shared" ca="1" si="138"/>
        <v>#VALUE!</v>
      </c>
      <c r="EE138" s="66"/>
      <c r="EF138" s="66"/>
      <c r="EH138" s="2" t="e" vm="139">
        <v>#VALUE!</v>
      </c>
      <c r="EJ138" s="10" cm="1">
        <f t="array" aca="1" ref="EJ138" ca="1">_FV(EH138,"Ações em circulação",TRUE)</f>
        <v>75645290</v>
      </c>
      <c r="EK138" s="21">
        <f>VLOOKUP(BK138,Fundamentus!A:U,5,FALSE)</f>
        <v>0.47099999999999997</v>
      </c>
      <c r="EL138" s="2">
        <f ca="1">(BJ138*EJ138)/EK138</f>
        <v>634392559.44798303</v>
      </c>
      <c r="EM138" s="20">
        <v>-4123551.6364118895</v>
      </c>
      <c r="EN138" s="20">
        <f t="shared" ca="1" si="139"/>
        <v>-4123551.6364118895</v>
      </c>
      <c r="EP138" s="19">
        <f t="shared" ca="1" si="134"/>
        <v>0</v>
      </c>
      <c r="EQ138" s="40" t="str">
        <f>IF(VLOOKUP(BK138,Fundamentus!A:U,3,FALSE)&lt;15,"Bom",IF(VLOOKUP(BK138,Fundamentus!A:U,3,FALSE)&gt;15,"Ruim","n/a"))</f>
        <v>Bom</v>
      </c>
      <c r="ER138" s="36" t="str">
        <f>IF(VLOOKUP(BK138,Fundamentus!A:U,4,FALSE)&lt;1,"Baixo",IF(VLOOKUP(BK138,Fundamentus!A:U,4,FALSE)&lt;1.5,"Moderado",IF(VLOOKUP(BK138,Fundamentus!A:U,4,FALSE)&gt;1.5,"Alto","n/a")))</f>
        <v>Baixo</v>
      </c>
      <c r="ES138" s="20" t="str">
        <f>IF(VLOOKUP(BK138,Fundamentus!A:U,8,FALSE)&lt;0,"Risco elevado",IF(VLOOKUP(BK138,Fundamentus!A:U,8,FALSE)&lt;1,"Saudável",IF(VLOOKUP(BK138,Fundamentus!A:U,8,FALSE)&lt;3,"Estável",IF(VLOOKUP(BK138,Fundamentus!A:U,8,FALSE)&gt;3,"Alerta","n/a"))))</f>
        <v>Saudável</v>
      </c>
      <c r="ET138" s="36" t="str">
        <f t="shared" si="140"/>
        <v>Ruim</v>
      </c>
      <c r="EU138" s="20" t="str">
        <f>IF(VLOOKUP(BK138,Fundamentus!A:U,12,FALSE)&lt;2,"Subvalorizada",IF(VLOOKUP(BK138,Fundamentus!A:U,12,FALSE)&lt;6,"Muita barata",IF(VLOOKUP(BK138,Fundamentus!A:U,12,FALSE)&lt;6,"Barata",IF(VLOOKUP(BK138,Fundamentus!A:U,12,FALSE)&lt;8,"Atrativa",IF(VLOOKUP(BK138,Fundamentus!A:U,12,FALSE)&gt;8,"Supervalorizada","n/a")))))</f>
        <v>Subvalorizada</v>
      </c>
      <c r="EW138" s="20" t="str">
        <f>IF(VLOOKUP(BK138,Fundamentus!A:U,17,FALSE)&lt;0.1,"Fraco retorno",IF(VLOOKUP(BK138,Fundamentus!A:U,17,FALSE)&gt;0.1,"Bom retorno","n/a"))</f>
        <v>Fraco retorno</v>
      </c>
      <c r="EX138" s="20" t="str">
        <f>IF(VLOOKUP(BK138,Fundamentus!A:U,16,FALSE)&lt;0.1,"Ineficiente",IF(VLOOKUP(BK138,Fundamentus!A:U,16,FALSE)&gt;0.1,"Eficiente","n/a"))</f>
        <v>Ineficiente</v>
      </c>
      <c r="EY138" s="41" t="str">
        <f>IF(VLOOKUP(BK138,Fundamentus!A:U,16,FALSE)&lt;0.1,"Oper. Ineficiente",IF(VLOOKUP(BK138,Fundamentus!A:U,16,FALSE)&gt;0.1,"Oper.Eficiente","n/a"))</f>
        <v>Oper. Ineficiente</v>
      </c>
      <c r="EZ138" s="42">
        <f>VLOOKUP(BK138,Fundamentus!A:U,14,FALSE)</f>
        <v>-6.4999999999999997E-3</v>
      </c>
      <c r="FA138" s="20" t="str">
        <f>IF(VLOOKUP(BK138,Fundamentus!A:U,21,FALSE)&lt;0,"Negativo",IF(VLOOKUP(BK138,Fundamentus!A:U,21,FALSE)&lt;0.05,"Fraco",IF(VLOOKUP(BK138,Fundamentus!A:U,21,FALSE)&lt;0.1,"Bom",IF(VLOOKUP(BK138,Fundamentus!A:U,21,FALSE)&gt;0.1,"Muito bom","n/a"))))</f>
        <v>Fraco</v>
      </c>
      <c r="FC138" s="37" t="str">
        <f>IF(VLOOKUP(BK138,Fundamentus!A:U,15,FALSE)&gt;1,"Bom",IF(VLOOKUP(BK138,Fundamentus!A:U,15,FALSE)&lt;1,"Ruim","n/a"))</f>
        <v>Bom</v>
      </c>
      <c r="FD138" s="20" t="str">
        <f>IF(VLOOKUP(BK138,Fundamentus!A:U,20,FALSE)&lt;0.5,"Baixa",IF(VLOOKUP(BK138,Fundamentus!A:U,20,FALSE)&lt;1,"Moderada",IF(VLOOKUP(BK138,Fundamentus!A:U,20,FALSE)&lt;2,"Alerta",IF(VLOOKUP(BK138,Fundamentus!A:U,20,FALSE)&gt;2,"Alta","n/a"))))</f>
        <v>Baixa</v>
      </c>
      <c r="FE138" s="10"/>
    </row>
    <row r="139" spans="1:161" s="2" customFormat="1" ht="11.25" hidden="1"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8">
        <v>20.39</v>
      </c>
      <c r="BC139" s="62">
        <v>20.62</v>
      </c>
      <c r="BD139" s="62">
        <v>21.42</v>
      </c>
      <c r="BE139" s="62">
        <v>20.3</v>
      </c>
      <c r="BF139" s="62">
        <v>20.52</v>
      </c>
      <c r="BG139" s="81">
        <v>21</v>
      </c>
      <c r="BH139" s="62">
        <v>20.79</v>
      </c>
      <c r="BI139" s="62">
        <v>19.899999999999999</v>
      </c>
      <c r="BJ139" s="62" cm="1">
        <f t="array" aca="1" ref="BJ139" ca="1">_FV(EH139,"Preço")</f>
        <v>19.93</v>
      </c>
      <c r="BK139" s="83" t="s">
        <v>135</v>
      </c>
      <c r="BL139" s="44" cm="1">
        <f t="array" aca="1" ref="BL139" ca="1">_FV(EH139,"Média de volume",TRUE)</f>
        <v>12711920</v>
      </c>
      <c r="BM139" s="44">
        <v>5952400</v>
      </c>
      <c r="BN139" s="44" cm="1">
        <f t="array" aca="1" ref="BN139" ca="1">_FV(EH139,"Volume")</f>
        <v>1640300</v>
      </c>
      <c r="BO139" s="32" cm="1">
        <f t="array" aca="1" ref="BO139" ca="1">_FV(EH139,"Beta")</f>
        <v>1.5088999999999999</v>
      </c>
      <c r="BP139" s="86" cm="1">
        <f t="array" aca="1" ref="BP139" ca="1">_FV(EH139,"Variação (%)",TRUE)</f>
        <v>1.5079999999999998E-3</v>
      </c>
      <c r="BQ139" s="48"/>
      <c r="BR139" s="48"/>
      <c r="BT139" s="20" cm="1">
        <f t="array" aca="1" ref="BT139" ca="1">_FV(EH139,"Baixo")</f>
        <v>19.62</v>
      </c>
      <c r="BU139" s="20" cm="1">
        <f t="array" aca="1" ref="BU139" ca="1">_FV(EH139,"Alto")</f>
        <v>20.12</v>
      </c>
      <c r="BV139" s="32"/>
      <c r="BW139" s="73">
        <f ca="1">SQRT(22.5*(BJ139/VLOOKUP(BK139,Fundamentus!A:U,3,FALSE))*(BJ139/VLOOKUP(BK139,Fundamentus!A:U,4,FALSE)))</f>
        <v>20.990450366921429</v>
      </c>
      <c r="BY139" s="72">
        <f t="shared" ca="1" si="135"/>
        <v>1.5075376884422682E-3</v>
      </c>
      <c r="BZ139" s="8"/>
      <c r="CA139" s="71">
        <f t="shared" si="98"/>
        <v>16.72</v>
      </c>
      <c r="CB139" s="71">
        <f t="shared" si="136"/>
        <v>28.32</v>
      </c>
      <c r="CC139" s="71">
        <f t="shared" si="99"/>
        <v>22.045573770491806</v>
      </c>
      <c r="CD139" s="17"/>
      <c r="CE139" s="43">
        <f t="shared" si="141"/>
        <v>19.208274531661285</v>
      </c>
      <c r="CF139" s="18">
        <f>FORECAST("04/07/2025", BF139:BI139, $BF$5:$BI$5)</f>
        <v>20.035000000000082</v>
      </c>
      <c r="CG139" s="43">
        <f t="shared" si="142"/>
        <v>20.861725468338879</v>
      </c>
      <c r="CI139" s="17"/>
      <c r="CJ139" s="20">
        <f>CA139-2*(CB139-CM139)</f>
        <v>3.3733333333333277</v>
      </c>
      <c r="CK139" s="20">
        <f>CM139-(CB139-CA139)</f>
        <v>10.046666666666663</v>
      </c>
      <c r="CL139" s="20">
        <f>2*CM139-CB139</f>
        <v>14.973333333333329</v>
      </c>
      <c r="CM139" s="48">
        <f>(CB139+CA139+BI139)/3</f>
        <v>21.646666666666665</v>
      </c>
      <c r="CN139" s="20">
        <f>2*CM139-CA139</f>
        <v>26.573333333333331</v>
      </c>
      <c r="CO139" s="20">
        <f>CM139+(CB139-CA139)</f>
        <v>33.24666666666667</v>
      </c>
      <c r="CP139" s="20">
        <f>CB139+2*(CM139-CA139)</f>
        <v>38.173333333333332</v>
      </c>
      <c r="CQ139" s="2" cm="1">
        <f t="array" aca="1" ref="CQ139" ca="1">MAX(_xlfn._xlws.FILTER(CJ139:CP139,CJ139:CP139&lt;BJ139))</f>
        <v>14.973333333333329</v>
      </c>
      <c r="CR139" s="2" cm="1">
        <f t="array" aca="1" ref="CR139" ca="1">MIN(_xlfn._xlws.FILTER($CJ139:$CP139,$CJ139:$CP139&gt;BJ139))</f>
        <v>21.646666666666665</v>
      </c>
      <c r="CS139" s="19">
        <f t="shared" ca="1" si="117"/>
        <v>0.44568121104185243</v>
      </c>
      <c r="CT139" s="23">
        <f t="shared" ca="1" si="118"/>
        <v>-0.22284060552092622</v>
      </c>
      <c r="CU139" s="23">
        <f t="shared" ca="1" si="119"/>
        <v>-0.14856040368061749</v>
      </c>
      <c r="CV139" s="23">
        <f t="shared" ca="1" si="120"/>
        <v>-8.9136242208370492E-2</v>
      </c>
      <c r="CW139" s="23">
        <f t="shared" ca="1" si="121"/>
        <v>-4.9520134560205827E-2</v>
      </c>
      <c r="CX139" s="23">
        <f t="shared" ca="1" si="122"/>
        <v>-2.621654182599132E-2</v>
      </c>
      <c r="CY139" s="23">
        <f t="shared" ca="1" si="123"/>
        <v>-1.3505491243692498E-2</v>
      </c>
      <c r="CZ139" s="23">
        <f t="shared" ca="1" si="124"/>
        <v>-6.8566340160284992E-3</v>
      </c>
      <c r="DA139" s="24">
        <f t="shared" ca="1" si="125"/>
        <v>6.8566340160284992E-3</v>
      </c>
      <c r="DB139" s="24">
        <f t="shared" ca="1" si="126"/>
        <v>1.3505491243692498E-2</v>
      </c>
      <c r="DC139" s="24">
        <f t="shared" ca="1" si="127"/>
        <v>2.621654182599132E-2</v>
      </c>
      <c r="DD139" s="24">
        <f t="shared" ca="1" si="128"/>
        <v>4.9520134560205827E-2</v>
      </c>
      <c r="DE139" s="24">
        <f t="shared" ca="1" si="129"/>
        <v>8.9136242208370492E-2</v>
      </c>
      <c r="DF139" s="24">
        <f t="shared" ca="1" si="130"/>
        <v>0.14856040368061749</v>
      </c>
      <c r="DG139" s="24">
        <f t="shared" ca="1" si="131"/>
        <v>0.22284060552092622</v>
      </c>
      <c r="DI139" s="19" cm="1">
        <f t="array" aca="1" ref="DI139" ca="1">MAX(_xlfn._xlws.FILTER(CT139:DG139,CT139:DG139&lt;BP139))</f>
        <v>-6.8566340160284992E-3</v>
      </c>
      <c r="DJ139" s="19" cm="1">
        <f t="array" aca="1" ref="DJ139" ca="1">MIN(_xlfn._xlws.FILTER(CT139:DG139,CT139:DG139&gt;BP139))</f>
        <v>6.8566340160284992E-3</v>
      </c>
      <c r="DK139" s="2" cm="1">
        <f t="array" aca="1" ref="DK139" ca="1">_FV(EH139,"Fechamento anterior",TRUE)</f>
        <v>19.899999999999999</v>
      </c>
      <c r="DL139" s="36">
        <f ca="1">(BJ139-DM139)/(DN139-DM139)</f>
        <v>0.6099327807870556</v>
      </c>
      <c r="DM139" s="18">
        <f t="shared" ca="1" si="132"/>
        <v>19.763552983081031</v>
      </c>
      <c r="DN139" s="18">
        <f t="shared" ca="1" si="133"/>
        <v>20.036447016918967</v>
      </c>
      <c r="DO139" s="9"/>
      <c r="DP139" s="9"/>
      <c r="DQ139" s="94">
        <v>8.9758098056853253E-3</v>
      </c>
      <c r="DR139" s="94">
        <v>1.8512607724225985E-2</v>
      </c>
      <c r="DS139" s="94">
        <v>1.1451779353507113E-2</v>
      </c>
      <c r="DT139" s="94">
        <f t="shared" ca="1" si="137"/>
        <v>1.3713268032056998E-2</v>
      </c>
      <c r="DU139" s="87">
        <f ca="1">(BJ139-CF139)/(CF139-CE139)</f>
        <v>-0.12700709488370635</v>
      </c>
      <c r="DV139" s="46"/>
      <c r="DW139" s="43">
        <f>_xlfn.STDEV.P(BF139:BI139)</f>
        <v>0.41336273416939795</v>
      </c>
      <c r="DX139" s="76">
        <f ca="1">BO139-$DT$2</f>
        <v>0.51179999999999981</v>
      </c>
      <c r="DY139" s="76">
        <f ca="1">BO139-BP139*100</f>
        <v>1.3580999999999999</v>
      </c>
      <c r="DZ139" s="101"/>
      <c r="EA139" s="100">
        <v>0.24991999999999992</v>
      </c>
      <c r="EB139" s="107">
        <v>2.706</v>
      </c>
      <c r="EC139" s="107">
        <v>-0.81409999999999982</v>
      </c>
      <c r="ED139" s="98">
        <f t="shared" ca="1" si="138"/>
        <v>-0.84630000000000005</v>
      </c>
      <c r="EE139" s="66"/>
      <c r="EF139" s="66"/>
      <c r="EH139" s="2" t="e" vm="140">
        <v>#VALUE!</v>
      </c>
      <c r="EJ139" s="10" cm="1">
        <f t="array" aca="1" ref="EJ139" ca="1">_FV(EH139,"Ações em circulação",TRUE)</f>
        <v>1682473000</v>
      </c>
      <c r="EK139" s="21">
        <f>VLOOKUP(BK139,Fundamentus!A:U,5,FALSE)</f>
        <v>0.55600000000000005</v>
      </c>
      <c r="EL139" s="2">
        <f ca="1">(BJ139*EJ139)/EK139</f>
        <v>60308789370.503593</v>
      </c>
      <c r="EM139" s="20">
        <v>4058693769.7482004</v>
      </c>
      <c r="EN139" s="20">
        <f t="shared" ca="1" si="139"/>
        <v>4064812403.5719423</v>
      </c>
      <c r="EP139" s="19">
        <f t="shared" ca="1" si="134"/>
        <v>1.5075376884423619E-3</v>
      </c>
      <c r="EQ139" s="40" t="str">
        <f>IF(VLOOKUP(BK139,Fundamentus!A:U,3,FALSE)&lt;15,"Bom",IF(VLOOKUP(BK139,Fundamentus!A:U,3,FALSE)&gt;15,"Ruim","n/a"))</f>
        <v>Bom</v>
      </c>
      <c r="ER139" s="36" t="str">
        <f>IF(VLOOKUP(BK139,Fundamentus!A:U,4,FALSE)&lt;1,"Baixo",IF(VLOOKUP(BK139,Fundamentus!A:U,4,FALSE)&lt;1.5,"Moderado",IF(VLOOKUP(BK139,Fundamentus!A:U,4,FALSE)&gt;1.5,"Alto","n/a")))</f>
        <v>Alto</v>
      </c>
      <c r="ES139" s="20" t="str">
        <f>IF(VLOOKUP(BK139,Fundamentus!A:U,8,FALSE)&lt;0,"Risco elevado",IF(VLOOKUP(BK139,Fundamentus!A:U,8,FALSE)&lt;1,"Saudável",IF(VLOOKUP(BK139,Fundamentus!A:U,8,FALSE)&lt;3,"Estável",IF(VLOOKUP(BK139,Fundamentus!A:U,8,FALSE)&gt;3,"Alerta","n/a"))))</f>
        <v>Alerta</v>
      </c>
      <c r="ET139" s="36" t="str">
        <f t="shared" si="140"/>
        <v>Ruim</v>
      </c>
      <c r="EU139" s="20" t="str">
        <f>IF(VLOOKUP(BK139,Fundamentus!A:U,12,FALSE)&lt;2,"Subvalorizada",IF(VLOOKUP(BK139,Fundamentus!A:U,12,FALSE)&lt;6,"Muita barata",IF(VLOOKUP(BK139,Fundamentus!A:U,12,FALSE)&lt;6,"Barata",IF(VLOOKUP(BK139,Fundamentus!A:U,12,FALSE)&lt;8,"Atrativa",IF(VLOOKUP(BK139,Fundamentus!A:U,12,FALSE)&gt;8,"Supervalorizada","n/a")))))</f>
        <v>Muita barata</v>
      </c>
      <c r="EW139" s="20" t="str">
        <f>IF(VLOOKUP(BK139,Fundamentus!A:U,17,FALSE)&lt;0.1,"Fraco retorno",IF(VLOOKUP(BK139,Fundamentus!A:U,17,FALSE)&gt;0.1,"Bom retorno","n/a"))</f>
        <v>Bom retorno</v>
      </c>
      <c r="EX139" s="20" t="str">
        <f>IF(VLOOKUP(BK139,Fundamentus!A:U,16,FALSE)&lt;0.1,"Ineficiente",IF(VLOOKUP(BK139,Fundamentus!A:U,16,FALSE)&gt;0.1,"Eficiente","n/a"))</f>
        <v>Eficiente</v>
      </c>
      <c r="EY139" s="41" t="str">
        <f>IF(VLOOKUP(BK139,Fundamentus!A:U,16,FALSE)&lt;0.1,"Oper. Ineficiente",IF(VLOOKUP(BK139,Fundamentus!A:U,16,FALSE)&gt;0.1,"Oper.Eficiente","n/a"))</f>
        <v>Oper.Eficiente</v>
      </c>
      <c r="EZ139" s="42">
        <f>VLOOKUP(BK139,Fundamentus!A:U,14,FALSE)</f>
        <v>6.7400000000000002E-2</v>
      </c>
      <c r="FA139" s="20" t="str">
        <f>IF(VLOOKUP(BK139,Fundamentus!A:U,21,FALSE)&lt;0,"Negativo",IF(VLOOKUP(BK139,Fundamentus!A:U,21,FALSE)&lt;0.05,"Fraco",IF(VLOOKUP(BK139,Fundamentus!A:U,21,FALSE)&lt;0.1,"Bom",IF(VLOOKUP(BK139,Fundamentus!A:U,21,FALSE)&gt;0.1,"Muito bom","n/a"))))</f>
        <v>Bom</v>
      </c>
      <c r="FC139" s="37" t="str">
        <f>IF(VLOOKUP(BK139,Fundamentus!A:U,15,FALSE)&gt;1,"Bom",IF(VLOOKUP(BK139,Fundamentus!A:U,15,FALSE)&lt;1,"Ruim","n/a"))</f>
        <v>Bom</v>
      </c>
      <c r="FD139" s="20" t="str">
        <f>IF(VLOOKUP(BK139,Fundamentus!A:U,20,FALSE)&lt;0.5,"Baixa",IF(VLOOKUP(BK139,Fundamentus!A:U,20,FALSE)&lt;1,"Moderada",IF(VLOOKUP(BK139,Fundamentus!A:U,20,FALSE)&lt;2,"Alerta",IF(VLOOKUP(BK139,Fundamentus!A:U,20,FALSE)&gt;2,"Alta","n/a"))))</f>
        <v>Alerta</v>
      </c>
      <c r="FE139" s="10"/>
    </row>
    <row r="140" spans="1:161" s="2" customFormat="1" ht="11.25" hidden="1"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8">
        <v>14.28</v>
      </c>
      <c r="BC140" s="62">
        <v>14.47</v>
      </c>
      <c r="BD140" s="62">
        <v>13.91</v>
      </c>
      <c r="BE140" s="62">
        <v>14.7</v>
      </c>
      <c r="BF140" s="62">
        <v>14.01</v>
      </c>
      <c r="BG140" s="81">
        <v>14.87</v>
      </c>
      <c r="BH140" s="62">
        <v>15.67</v>
      </c>
      <c r="BI140" s="62">
        <v>16</v>
      </c>
      <c r="BJ140" s="62" cm="1">
        <f t="array" aca="1" ref="BJ140" ca="1">_FV(EH140,"Preço")</f>
        <v>15.95</v>
      </c>
      <c r="BK140" s="83" t="s">
        <v>136</v>
      </c>
      <c r="BL140" s="44" cm="1">
        <f t="array" aca="1" ref="BL140" ca="1">_FV(EH140,"Média de volume",TRUE)</f>
        <v>2682380</v>
      </c>
      <c r="BM140" s="44">
        <v>2236200</v>
      </c>
      <c r="BN140" s="44" cm="1">
        <f t="array" aca="1" ref="BN140" ca="1">_FV(EH140,"Volume")</f>
        <v>748300</v>
      </c>
      <c r="BO140" s="32" cm="1">
        <f t="array" aca="1" ref="BO140" ca="1">_FV(EH140,"Beta")</f>
        <v>1.2358</v>
      </c>
      <c r="BP140" s="86" cm="1">
        <f t="array" aca="1" ref="BP140" ca="1">_FV(EH140,"Variação (%)",TRUE)</f>
        <v>-3.1250000000000002E-3</v>
      </c>
      <c r="BQ140" s="48"/>
      <c r="BR140" s="48"/>
      <c r="BT140" s="20" cm="1">
        <f t="array" aca="1" ref="BT140" ca="1">_FV(EH140,"Baixo")</f>
        <v>15.66</v>
      </c>
      <c r="BU140" s="20" cm="1">
        <f t="array" aca="1" ref="BU140" ca="1">_FV(EH140,"Alto")</f>
        <v>16.100000000000001</v>
      </c>
      <c r="BV140" s="32"/>
      <c r="BW140" s="73">
        <f ca="1">SQRT(22.5*(BJ140/VLOOKUP(BK140,Fundamentus!A:U,3,FALSE))*(BJ140/VLOOKUP(BK140,Fundamentus!A:U,4,FALSE)))</f>
        <v>17.577852064750697</v>
      </c>
      <c r="BY140" s="72">
        <f t="shared" ca="1" si="135"/>
        <v>-3.1250000000000444E-3</v>
      </c>
      <c r="BZ140" s="8"/>
      <c r="CA140" s="71">
        <f t="shared" si="98"/>
        <v>11.6</v>
      </c>
      <c r="CB140" s="71">
        <f t="shared" si="136"/>
        <v>23.76</v>
      </c>
      <c r="CC140" s="71">
        <f t="shared" si="99"/>
        <v>17.529754098360655</v>
      </c>
      <c r="CD140" s="17"/>
      <c r="CE140" s="43">
        <f t="shared" si="141"/>
        <v>15.290430254908786</v>
      </c>
      <c r="CF140" s="18">
        <f>FORECAST("04/07/2025", BF140:BI140, $BF$5:$BI$5)</f>
        <v>16.829999999999927</v>
      </c>
      <c r="CG140" s="43">
        <f t="shared" si="142"/>
        <v>18.36956974509107</v>
      </c>
      <c r="CI140" s="17"/>
      <c r="CJ140" s="20">
        <f>CA140-2*(CB140-CM140)</f>
        <v>-1.6800000000000015</v>
      </c>
      <c r="CK140" s="20">
        <f>CM140-(CB140-CA140)</f>
        <v>4.9599999999999991</v>
      </c>
      <c r="CL140" s="20">
        <f>2*CM140-CB140</f>
        <v>10.48</v>
      </c>
      <c r="CM140" s="48">
        <f>(CB140+CA140+BI140)/3</f>
        <v>17.12</v>
      </c>
      <c r="CN140" s="20">
        <f>2*CM140-CA140</f>
        <v>22.64</v>
      </c>
      <c r="CO140" s="20">
        <f>CM140+(CB140-CA140)</f>
        <v>29.28</v>
      </c>
      <c r="CP140" s="20">
        <f>CB140+2*(CM140-CA140)</f>
        <v>34.800000000000004</v>
      </c>
      <c r="CQ140" s="2" cm="1">
        <f t="array" aca="1" ref="CQ140" ca="1">MAX(_xlfn._xlws.FILTER(CJ140:CP140,CJ140:CP140&lt;BJ140))</f>
        <v>10.48</v>
      </c>
      <c r="CR140" s="2" cm="1">
        <f t="array" aca="1" ref="CR140" ca="1">MIN(_xlfn._xlws.FILTER($CJ140:$CP140,$CJ140:$CP140&gt;BJ140))</f>
        <v>17.12</v>
      </c>
      <c r="CS140" s="19">
        <f t="shared" ca="1" si="117"/>
        <v>0.63358778625954204</v>
      </c>
      <c r="CT140" s="23">
        <f t="shared" ca="1" si="118"/>
        <v>-0.31679389312977102</v>
      </c>
      <c r="CU140" s="23">
        <f t="shared" ca="1" si="119"/>
        <v>-0.21119592875318069</v>
      </c>
      <c r="CV140" s="23">
        <f t="shared" ca="1" si="120"/>
        <v>-0.12671755725190842</v>
      </c>
      <c r="CW140" s="23">
        <f t="shared" ca="1" si="121"/>
        <v>-7.0398642917726892E-2</v>
      </c>
      <c r="CX140" s="23">
        <f t="shared" ca="1" si="122"/>
        <v>-3.7269869779973062E-2</v>
      </c>
      <c r="CY140" s="23">
        <f t="shared" ca="1" si="123"/>
        <v>-1.9199629886652789E-2</v>
      </c>
      <c r="CZ140" s="23">
        <f t="shared" ca="1" si="124"/>
        <v>-9.7475044039929543E-3</v>
      </c>
      <c r="DA140" s="24">
        <f t="shared" ca="1" si="125"/>
        <v>9.7475044039929543E-3</v>
      </c>
      <c r="DB140" s="24">
        <f t="shared" ca="1" si="126"/>
        <v>1.9199629886652789E-2</v>
      </c>
      <c r="DC140" s="24">
        <f t="shared" ca="1" si="127"/>
        <v>3.7269869779973062E-2</v>
      </c>
      <c r="DD140" s="24">
        <f t="shared" ca="1" si="128"/>
        <v>7.0398642917726892E-2</v>
      </c>
      <c r="DE140" s="24">
        <f t="shared" ca="1" si="129"/>
        <v>0.12671755725190842</v>
      </c>
      <c r="DF140" s="24">
        <f t="shared" ca="1" si="130"/>
        <v>0.21119592875318069</v>
      </c>
      <c r="DG140" s="24">
        <f t="shared" ca="1" si="131"/>
        <v>0.31679389312977102</v>
      </c>
      <c r="DI140" s="19" cm="1">
        <f t="array" aca="1" ref="DI140" ca="1">MAX(_xlfn._xlws.FILTER(CT140:DG140,CT140:DG140&lt;BP140))</f>
        <v>-9.7475044039929543E-3</v>
      </c>
      <c r="DJ140" s="19" cm="1">
        <f t="array" aca="1" ref="DJ140" ca="1">MIN(_xlfn._xlws.FILTER(CT140:DG140,CT140:DG140&gt;BP140))</f>
        <v>9.7475044039929543E-3</v>
      </c>
      <c r="DK140" s="2" cm="1">
        <f t="array" aca="1" ref="DK140" ca="1">_FV(EH140,"Fechamento anterior",TRUE)</f>
        <v>16</v>
      </c>
      <c r="DL140" s="36">
        <f ca="1">(BJ140-DM140)/(DN140-DM140)</f>
        <v>0.33970256024096179</v>
      </c>
      <c r="DM140" s="18">
        <f t="shared" ca="1" si="132"/>
        <v>15.844039929536113</v>
      </c>
      <c r="DN140" s="18">
        <f t="shared" ca="1" si="133"/>
        <v>16.155960070463887</v>
      </c>
      <c r="DO140" s="9"/>
      <c r="DP140" s="9"/>
      <c r="DQ140" s="94">
        <v>3.3204101597883999E-2</v>
      </c>
      <c r="DR140" s="94">
        <v>3.3204101597883999E-2</v>
      </c>
      <c r="DS140" s="94">
        <v>2.2196446459640445E-2</v>
      </c>
      <c r="DT140" s="94">
        <f t="shared" ca="1" si="137"/>
        <v>1.9495008807985909E-2</v>
      </c>
      <c r="DU140" s="87">
        <f ca="1">(BJ140-CF140)/(CF140-CE140)</f>
        <v>-0.5715882653616533</v>
      </c>
      <c r="DV140" s="46"/>
      <c r="DW140" s="43">
        <f>_xlfn.STDEV.P(BF140:BI140)</f>
        <v>0.76978487254557049</v>
      </c>
      <c r="DX140" s="76">
        <f ca="1">BO140-$DT$2</f>
        <v>0.23869999999999991</v>
      </c>
      <c r="DY140" s="76">
        <f ca="1">BO140-BP140*100</f>
        <v>1.5483</v>
      </c>
      <c r="DZ140" s="101"/>
      <c r="EA140" s="100">
        <v>2.2515999999999998</v>
      </c>
      <c r="EB140" s="107">
        <v>4.7425999999999995</v>
      </c>
      <c r="EC140" s="107">
        <v>-2.2581000000000002</v>
      </c>
      <c r="ED140" s="98">
        <f t="shared" ca="1" si="138"/>
        <v>-1.3096000000000001</v>
      </c>
      <c r="EE140" s="66"/>
      <c r="EF140" s="66"/>
      <c r="EH140" s="2" t="e" vm="141">
        <v>#VALUE!</v>
      </c>
      <c r="EJ140" s="10" cm="1">
        <f t="array" aca="1" ref="EJ140" ca="1">_FV(EH140,"Ações em circulação",TRUE)</f>
        <v>327611100</v>
      </c>
      <c r="EK140" s="21">
        <f>VLOOKUP(BK140,Fundamentus!A:U,5,FALSE)</f>
        <v>1.05</v>
      </c>
      <c r="EL140" s="2">
        <f ca="1">(BJ140*EJ140)/EK140</f>
        <v>4976568614.2857141</v>
      </c>
      <c r="EM140" s="20">
        <v>469263899.4285714</v>
      </c>
      <c r="EN140" s="20">
        <f t="shared" ca="1" si="139"/>
        <v>467797449.74285716</v>
      </c>
      <c r="EP140" s="19">
        <f t="shared" ca="1" si="134"/>
        <v>-3.1249999999999334E-3</v>
      </c>
      <c r="EQ140" s="40" t="str">
        <f>IF(VLOOKUP(BK140,Fundamentus!A:U,3,FALSE)&lt;15,"Bom",IF(VLOOKUP(BK140,Fundamentus!A:U,3,FALSE)&gt;15,"Ruim","n/a"))</f>
        <v>Bom</v>
      </c>
      <c r="ER140" s="36" t="str">
        <f>IF(VLOOKUP(BK140,Fundamentus!A:U,4,FALSE)&lt;1,"Baixo",IF(VLOOKUP(BK140,Fundamentus!A:U,4,FALSE)&lt;1.5,"Moderado",IF(VLOOKUP(BK140,Fundamentus!A:U,4,FALSE)&gt;1.5,"Alto","n/a")))</f>
        <v>Alto</v>
      </c>
      <c r="ES140" s="20" t="str">
        <f>IF(VLOOKUP(BK140,Fundamentus!A:U,8,FALSE)&lt;0,"Risco elevado",IF(VLOOKUP(BK140,Fundamentus!A:U,8,FALSE)&lt;1,"Saudável",IF(VLOOKUP(BK140,Fundamentus!A:U,8,FALSE)&lt;3,"Estável",IF(VLOOKUP(BK140,Fundamentus!A:U,8,FALSE)&gt;3,"Alerta","n/a"))))</f>
        <v>Estável</v>
      </c>
      <c r="ET140" s="36" t="str">
        <f t="shared" si="140"/>
        <v>Bom</v>
      </c>
      <c r="EU140" s="20" t="str">
        <f>IF(VLOOKUP(BK140,Fundamentus!A:U,12,FALSE)&lt;2,"Subvalorizada",IF(VLOOKUP(BK140,Fundamentus!A:U,12,FALSE)&lt;6,"Muita barata",IF(VLOOKUP(BK140,Fundamentus!A:U,12,FALSE)&lt;6,"Barata",IF(VLOOKUP(BK140,Fundamentus!A:U,12,FALSE)&lt;8,"Atrativa",IF(VLOOKUP(BK140,Fundamentus!A:U,12,FALSE)&gt;8,"Supervalorizada","n/a")))))</f>
        <v>Supervalorizada</v>
      </c>
      <c r="EW140" s="20" t="str">
        <f>IF(VLOOKUP(BK140,Fundamentus!A:U,17,FALSE)&lt;0.1,"Fraco retorno",IF(VLOOKUP(BK140,Fundamentus!A:U,17,FALSE)&gt;0.1,"Bom retorno","n/a"))</f>
        <v>Bom retorno</v>
      </c>
      <c r="EX140" s="20" t="str">
        <f>IF(VLOOKUP(BK140,Fundamentus!A:U,16,FALSE)&lt;0.1,"Ineficiente",IF(VLOOKUP(BK140,Fundamentus!A:U,16,FALSE)&gt;0.1,"Eficiente","n/a"))</f>
        <v>Eficiente</v>
      </c>
      <c r="EY140" s="41" t="str">
        <f>IF(VLOOKUP(BK140,Fundamentus!A:U,16,FALSE)&lt;0.1,"Oper. Ineficiente",IF(VLOOKUP(BK140,Fundamentus!A:U,16,FALSE)&gt;0.1,"Oper.Eficiente","n/a"))</f>
        <v>Oper.Eficiente</v>
      </c>
      <c r="EZ140" s="42">
        <f>VLOOKUP(BK140,Fundamentus!A:U,14,FALSE)</f>
        <v>9.4E-2</v>
      </c>
      <c r="FA140" s="20" t="str">
        <f>IF(VLOOKUP(BK140,Fundamentus!A:U,21,FALSE)&lt;0,"Negativo",IF(VLOOKUP(BK140,Fundamentus!A:U,21,FALSE)&lt;0.05,"Fraco",IF(VLOOKUP(BK140,Fundamentus!A:U,21,FALSE)&lt;0.1,"Bom",IF(VLOOKUP(BK140,Fundamentus!A:U,21,FALSE)&gt;0.1,"Muito bom","n/a"))))</f>
        <v>Muito bom</v>
      </c>
      <c r="FC140" s="37" t="str">
        <f>IF(VLOOKUP(BK140,Fundamentus!A:U,15,FALSE)&gt;1,"Bom",IF(VLOOKUP(BK140,Fundamentus!A:U,15,FALSE)&lt;1,"Ruim","n/a"))</f>
        <v>Bom</v>
      </c>
      <c r="FD140" s="20" t="str">
        <f>IF(VLOOKUP(BK140,Fundamentus!A:U,20,FALSE)&lt;0.5,"Baixa",IF(VLOOKUP(BK140,Fundamentus!A:U,20,FALSE)&lt;1,"Moderada",IF(VLOOKUP(BK140,Fundamentus!A:U,20,FALSE)&lt;2,"Alerta",IF(VLOOKUP(BK140,Fundamentus!A:U,20,FALSE)&gt;2,"Alta","n/a"))))</f>
        <v>Baixa</v>
      </c>
      <c r="FE140" s="10"/>
    </row>
    <row r="141" spans="1:161" s="2" customFormat="1" ht="11.25" hidden="1"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8">
        <v>4.1399999999999997</v>
      </c>
      <c r="BC141" s="62">
        <v>4.78</v>
      </c>
      <c r="BD141" s="62">
        <v>4.68</v>
      </c>
      <c r="BE141" s="62">
        <v>4.7</v>
      </c>
      <c r="BF141" s="62">
        <v>4.37</v>
      </c>
      <c r="BG141" s="81">
        <v>4.3099999999999996</v>
      </c>
      <c r="BH141" s="62">
        <v>4.2</v>
      </c>
      <c r="BI141" s="62">
        <v>4.84</v>
      </c>
      <c r="BJ141" s="62" cm="1">
        <f t="array" aca="1" ref="BJ141" ca="1">_FV(EH141,"Preço")</f>
        <v>4.79</v>
      </c>
      <c r="BK141" s="83" t="s">
        <v>137</v>
      </c>
      <c r="BL141" s="44" cm="1">
        <f t="array" aca="1" ref="BL141" ca="1">_FV(EH141,"Média de volume",TRUE)</f>
        <v>4261490</v>
      </c>
      <c r="BM141" s="44">
        <v>3852000</v>
      </c>
      <c r="BN141" s="44" cm="1">
        <f t="array" aca="1" ref="BN141" ca="1">_FV(EH141,"Volume")</f>
        <v>949300</v>
      </c>
      <c r="BO141" s="32" cm="1">
        <f t="array" aca="1" ref="BO141" ca="1">_FV(EH141,"Beta")</f>
        <v>0.98009999999999997</v>
      </c>
      <c r="BP141" s="86" cm="1">
        <f t="array" aca="1" ref="BP141" ca="1">_FV(EH141,"Variação (%)",TRUE)</f>
        <v>-1.0331E-2</v>
      </c>
      <c r="BQ141" s="48"/>
      <c r="BR141" s="48"/>
      <c r="BT141" s="20" cm="1">
        <f t="array" aca="1" ref="BT141" ca="1">_FV(EH141,"Baixo")</f>
        <v>4.71</v>
      </c>
      <c r="BU141" s="20" cm="1">
        <f t="array" aca="1" ref="BU141" ca="1">_FV(EH141,"Alto")</f>
        <v>4.82</v>
      </c>
      <c r="BV141" s="32"/>
      <c r="BW141" s="73">
        <f ca="1">SQRT(22.5*(BJ141/VLOOKUP(BK141,Fundamentus!A:U,3,FALSE))*(BJ141/VLOOKUP(BK141,Fundamentus!A:U,4,FALSE)))</f>
        <v>7.0969063903761773</v>
      </c>
      <c r="BY141" s="72">
        <f t="shared" ca="1" si="135"/>
        <v>-1.0330578512396658E-2</v>
      </c>
      <c r="BZ141" s="8"/>
      <c r="CA141" s="71">
        <f t="shared" si="98"/>
        <v>3.93</v>
      </c>
      <c r="CB141" s="71">
        <f t="shared" si="136"/>
        <v>7.4</v>
      </c>
      <c r="CC141" s="71">
        <f t="shared" si="99"/>
        <v>5.3443442622950803</v>
      </c>
      <c r="CD141" s="17"/>
      <c r="CE141" s="43">
        <f t="shared" si="141"/>
        <v>4.2661237375366694</v>
      </c>
      <c r="CF141" s="18">
        <f>FORECAST("04/07/2025", BF141:BI141, $BF$5:$BI$5)</f>
        <v>4.7549999999998818</v>
      </c>
      <c r="CG141" s="43">
        <f t="shared" si="142"/>
        <v>5.2438762624630941</v>
      </c>
      <c r="CI141" s="17"/>
      <c r="CJ141" s="20">
        <f>CA141-2*(CB141-CM141)</f>
        <v>-8.9999999999999414E-2</v>
      </c>
      <c r="CK141" s="20">
        <f>CM141-(CB141-CA141)</f>
        <v>1.9200000000000004</v>
      </c>
      <c r="CL141" s="20">
        <f>2*CM141-CB141</f>
        <v>3.3800000000000008</v>
      </c>
      <c r="CM141" s="48">
        <f>(CB141+CA141+BI141)/3</f>
        <v>5.3900000000000006</v>
      </c>
      <c r="CN141" s="20">
        <f>2*CM141-CA141</f>
        <v>6.8500000000000014</v>
      </c>
      <c r="CO141" s="20">
        <f>CM141+(CB141-CA141)</f>
        <v>8.8600000000000012</v>
      </c>
      <c r="CP141" s="20">
        <f>CB141+2*(CM141-CA141)</f>
        <v>10.32</v>
      </c>
      <c r="CQ141" s="2" cm="1">
        <f t="array" aca="1" ref="CQ141" ca="1">MAX(_xlfn._xlws.FILTER(CJ141:CP141,CJ141:CP141&lt;BJ141))</f>
        <v>3.3800000000000008</v>
      </c>
      <c r="CR141" s="2" cm="1">
        <f t="array" aca="1" ref="CR141" ca="1">MIN(_xlfn._xlws.FILTER($CJ141:$CP141,$CJ141:$CP141&gt;BJ141))</f>
        <v>5.3900000000000006</v>
      </c>
      <c r="CS141" s="19">
        <f t="shared" ca="1" si="117"/>
        <v>0.59467455621301757</v>
      </c>
      <c r="CT141" s="23">
        <f t="shared" ca="1" si="118"/>
        <v>-0.29733727810650878</v>
      </c>
      <c r="CU141" s="23">
        <f t="shared" ca="1" si="119"/>
        <v>-0.19822485207100585</v>
      </c>
      <c r="CV141" s="23">
        <f t="shared" ca="1" si="120"/>
        <v>-0.11893491124260351</v>
      </c>
      <c r="CW141" s="23">
        <f t="shared" ca="1" si="121"/>
        <v>-6.6074950690335282E-2</v>
      </c>
      <c r="CX141" s="23">
        <f t="shared" ca="1" si="122"/>
        <v>-3.4980856247824564E-2</v>
      </c>
      <c r="CY141" s="23">
        <f t="shared" ca="1" si="123"/>
        <v>-1.802044109736417E-2</v>
      </c>
      <c r="CZ141" s="23">
        <f t="shared" ca="1" si="124"/>
        <v>-9.1488393263541162E-3</v>
      </c>
      <c r="DA141" s="24">
        <f t="shared" ca="1" si="125"/>
        <v>9.1488393263541162E-3</v>
      </c>
      <c r="DB141" s="24">
        <f t="shared" ca="1" si="126"/>
        <v>1.802044109736417E-2</v>
      </c>
      <c r="DC141" s="24">
        <f t="shared" ca="1" si="127"/>
        <v>3.4980856247824564E-2</v>
      </c>
      <c r="DD141" s="24">
        <f t="shared" ca="1" si="128"/>
        <v>6.6074950690335282E-2</v>
      </c>
      <c r="DE141" s="24">
        <f t="shared" ca="1" si="129"/>
        <v>0.11893491124260351</v>
      </c>
      <c r="DF141" s="24">
        <f t="shared" ca="1" si="130"/>
        <v>0.19822485207100585</v>
      </c>
      <c r="DG141" s="24">
        <f t="shared" ca="1" si="131"/>
        <v>0.29733727810650878</v>
      </c>
      <c r="DI141" s="19" cm="1">
        <f t="array" aca="1" ref="DI141" ca="1">MAX(_xlfn._xlws.FILTER(CT141:DG141,CT141:DG141&lt;BP141))</f>
        <v>-1.802044109736417E-2</v>
      </c>
      <c r="DJ141" s="19" cm="1">
        <f t="array" aca="1" ref="DJ141" ca="1">MIN(_xlfn._xlws.FILTER(CT141:DG141,CT141:DG141&gt;BP141))</f>
        <v>-9.1488393263541162E-3</v>
      </c>
      <c r="DK141" s="2" cm="1">
        <f t="array" aca="1" ref="DK141" ca="1">_FV(EH141,"Fechamento anterior",TRUE)</f>
        <v>4.84</v>
      </c>
      <c r="DL141" s="36">
        <f ca="1">(BJ141-DM141)/(DN141-DM141)</f>
        <v>0.86679528493895408</v>
      </c>
      <c r="DM141" s="18">
        <f t="shared" ca="1" si="132"/>
        <v>4.7527810650887572</v>
      </c>
      <c r="DN141" s="18">
        <f t="shared" ca="1" si="133"/>
        <v>4.7957196176604455</v>
      </c>
      <c r="DO141" s="9"/>
      <c r="DP141" s="9"/>
      <c r="DQ141" s="94">
        <v>1.583462241597525E-2</v>
      </c>
      <c r="DR141" s="94">
        <v>1.583462241597525E-2</v>
      </c>
      <c r="DS141" s="94">
        <v>3.7776050214505759E-2</v>
      </c>
      <c r="DT141" s="94">
        <f t="shared" ca="1" si="137"/>
        <v>8.8716017710100542E-3</v>
      </c>
      <c r="DU141" s="87">
        <f ca="1">(BJ141-CF141)/(CF141-CE141)</f>
        <v>7.1592758101549261E-2</v>
      </c>
      <c r="DV141" s="46"/>
      <c r="DW141" s="43">
        <f>_xlfn.STDEV.P(BF141:BI141)</f>
        <v>0.24443813123160626</v>
      </c>
      <c r="DX141" s="76">
        <f ca="1">BO141-$DT$2</f>
        <v>-1.7000000000000126E-2</v>
      </c>
      <c r="DY141" s="76">
        <f ca="1">BO141-BP141*100</f>
        <v>2.0131999999999999</v>
      </c>
      <c r="DZ141" s="101"/>
      <c r="EA141" s="100">
        <v>-4.1358999999999995</v>
      </c>
      <c r="EB141" s="107">
        <v>-1.3102999999999998</v>
      </c>
      <c r="EC141" s="107">
        <v>2.7233000000000001</v>
      </c>
      <c r="ED141" s="98">
        <f t="shared" ca="1" si="138"/>
        <v>-2.0301999999999998</v>
      </c>
      <c r="EE141" s="66"/>
      <c r="EF141" s="66"/>
      <c r="EH141" s="2" t="e" vm="142">
        <v>#VALUE!</v>
      </c>
      <c r="EJ141" s="10" cm="1">
        <f t="array" aca="1" ref="EJ141" ca="1">_FV(EH141,"Ações em circulação",TRUE)</f>
        <v>651072700</v>
      </c>
      <c r="EK141" s="21">
        <f>VLOOKUP(BK141,Fundamentus!A:U,5,FALSE)</f>
        <v>0.318</v>
      </c>
      <c r="EL141" s="2">
        <f ca="1">(BJ141*EJ141)/EK141</f>
        <v>9807038468.5534592</v>
      </c>
      <c r="EM141" s="20">
        <v>327010476.86792457</v>
      </c>
      <c r="EN141" s="20">
        <f t="shared" ca="1" si="139"/>
        <v>323632269.46226418</v>
      </c>
      <c r="EP141" s="19">
        <f t="shared" ca="1" si="134"/>
        <v>-1.0330578512396715E-2</v>
      </c>
      <c r="EQ141" s="40" t="str">
        <f>IF(VLOOKUP(BK141,Fundamentus!A:U,3,FALSE)&lt;15,"Bom",IF(VLOOKUP(BK141,Fundamentus!A:U,3,FALSE)&gt;15,"Ruim","n/a"))</f>
        <v>Ruim</v>
      </c>
      <c r="ER141" s="36" t="str">
        <f>IF(VLOOKUP(BK141,Fundamentus!A:U,4,FALSE)&lt;1,"Baixo",IF(VLOOKUP(BK141,Fundamentus!A:U,4,FALSE)&lt;1.5,"Moderado",IF(VLOOKUP(BK141,Fundamentus!A:U,4,FALSE)&gt;1.5,"Alto","n/a")))</f>
        <v>Baixo</v>
      </c>
      <c r="ES141" s="20" t="str">
        <f>IF(VLOOKUP(BK141,Fundamentus!A:U,8,FALSE)&lt;0,"Risco elevado",IF(VLOOKUP(BK141,Fundamentus!A:U,8,FALSE)&lt;1,"Saudável",IF(VLOOKUP(BK141,Fundamentus!A:U,8,FALSE)&lt;3,"Estável",IF(VLOOKUP(BK141,Fundamentus!A:U,8,FALSE)&gt;3,"Alerta","n/a"))))</f>
        <v>Estável</v>
      </c>
      <c r="ET141" s="36" t="str">
        <f t="shared" si="140"/>
        <v>Ruim</v>
      </c>
      <c r="EU141" s="20" t="str">
        <f>IF(VLOOKUP(BK141,Fundamentus!A:U,12,FALSE)&lt;2,"Subvalorizada",IF(VLOOKUP(BK141,Fundamentus!A:U,12,FALSE)&lt;6,"Muita barata",IF(VLOOKUP(BK141,Fundamentus!A:U,12,FALSE)&lt;6,"Barata",IF(VLOOKUP(BK141,Fundamentus!A:U,12,FALSE)&lt;8,"Atrativa",IF(VLOOKUP(BK141,Fundamentus!A:U,12,FALSE)&gt;8,"Supervalorizada","n/a")))))</f>
        <v>Muita barata</v>
      </c>
      <c r="EW141" s="20" t="str">
        <f>IF(VLOOKUP(BK141,Fundamentus!A:U,17,FALSE)&lt;0.1,"Fraco retorno",IF(VLOOKUP(BK141,Fundamentus!A:U,17,FALSE)&gt;0.1,"Bom retorno","n/a"))</f>
        <v>Fraco retorno</v>
      </c>
      <c r="EX141" s="20" t="str">
        <f>IF(VLOOKUP(BK141,Fundamentus!A:U,16,FALSE)&lt;0.1,"Ineficiente",IF(VLOOKUP(BK141,Fundamentus!A:U,16,FALSE)&gt;0.1,"Eficiente","n/a"))</f>
        <v>Ineficiente</v>
      </c>
      <c r="EY141" s="41" t="str">
        <f>IF(VLOOKUP(BK141,Fundamentus!A:U,16,FALSE)&lt;0.1,"Oper. Ineficiente",IF(VLOOKUP(BK141,Fundamentus!A:U,16,FALSE)&gt;0.1,"Oper.Eficiente","n/a"))</f>
        <v>Oper. Ineficiente</v>
      </c>
      <c r="EZ141" s="42">
        <f>VLOOKUP(BK141,Fundamentus!A:U,14,FALSE)</f>
        <v>3.3000000000000002E-2</v>
      </c>
      <c r="FA141" s="20" t="str">
        <f>IF(VLOOKUP(BK141,Fundamentus!A:U,21,FALSE)&lt;0,"Negativo",IF(VLOOKUP(BK141,Fundamentus!A:U,21,FALSE)&lt;0.05,"Fraco",IF(VLOOKUP(BK141,Fundamentus!A:U,21,FALSE)&lt;0.1,"Bom",IF(VLOOKUP(BK141,Fundamentus!A:U,21,FALSE)&gt;0.1,"Muito bom","n/a"))))</f>
        <v>Negativo</v>
      </c>
      <c r="FC141" s="37" t="str">
        <f>IF(VLOOKUP(BK141,Fundamentus!A:U,15,FALSE)&gt;1,"Bom",IF(VLOOKUP(BK141,Fundamentus!A:U,15,FALSE)&lt;1,"Ruim","n/a"))</f>
        <v>Bom</v>
      </c>
      <c r="FD141" s="20" t="str">
        <f>IF(VLOOKUP(BK141,Fundamentus!A:U,20,FALSE)&lt;0.5,"Baixa",IF(VLOOKUP(BK141,Fundamentus!A:U,20,FALSE)&lt;1,"Moderada",IF(VLOOKUP(BK141,Fundamentus!A:U,20,FALSE)&lt;2,"Alerta",IF(VLOOKUP(BK141,Fundamentus!A:U,20,FALSE)&gt;2,"Alta","n/a"))))</f>
        <v>Moderada</v>
      </c>
      <c r="FE141" s="10"/>
    </row>
    <row r="142" spans="1:161" s="2" customFormat="1" ht="11.25" hidden="1"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8">
        <v>4.0599999999999996</v>
      </c>
      <c r="BC142" s="62">
        <v>4.0199999999999996</v>
      </c>
      <c r="BD142" s="62">
        <v>3.98</v>
      </c>
      <c r="BE142" s="62">
        <v>3.8</v>
      </c>
      <c r="BF142" s="62">
        <v>3.85</v>
      </c>
      <c r="BG142" s="81">
        <v>3.85</v>
      </c>
      <c r="BH142" s="62">
        <v>3.63</v>
      </c>
      <c r="BI142" s="62">
        <v>3.68</v>
      </c>
      <c r="BJ142" s="62" cm="1">
        <f t="array" aca="1" ref="BJ142" ca="1">_FV(EH142,"Preço")</f>
        <v>3.73</v>
      </c>
      <c r="BK142" s="83" t="s">
        <v>138</v>
      </c>
      <c r="BL142" s="44" cm="1">
        <f t="array" aca="1" ref="BL142" ca="1">_FV(EH142,"Média de volume",TRUE)</f>
        <v>2435060</v>
      </c>
      <c r="BM142" s="44">
        <v>306900</v>
      </c>
      <c r="BN142" s="44" cm="1">
        <f t="array" aca="1" ref="BN142" ca="1">_FV(EH142,"Volume")</f>
        <v>214800</v>
      </c>
      <c r="BO142" s="32" cm="1">
        <f t="array" aca="1" ref="BO142" ca="1">_FV(EH142,"Beta")</f>
        <v>0.34839999999999999</v>
      </c>
      <c r="BP142" s="86" cm="1">
        <f t="array" aca="1" ref="BP142" ca="1">_FV(EH142,"Variação (%)",TRUE)</f>
        <v>1.3587E-2</v>
      </c>
      <c r="BQ142" s="48"/>
      <c r="BR142" s="48"/>
      <c r="BT142" s="20" cm="1">
        <f t="array" aca="1" ref="BT142" ca="1">_FV(EH142,"Baixo")</f>
        <v>3.65</v>
      </c>
      <c r="BU142" s="20" cm="1">
        <f t="array" aca="1" ref="BU142" ca="1">_FV(EH142,"Alto")</f>
        <v>3.76</v>
      </c>
      <c r="BV142" s="32"/>
      <c r="BW142" s="73">
        <f ca="1">SQRT(22.5*(BJ142/VLOOKUP(BK142,Fundamentus!A:U,3,FALSE))*(BJ142/VLOOKUP(BK142,Fundamentus!A:U,4,FALSE)))</f>
        <v>2.9346253337116406</v>
      </c>
      <c r="BY142" s="72">
        <f t="shared" ca="1" si="135"/>
        <v>1.3586956521739081E-2</v>
      </c>
      <c r="BZ142" s="8"/>
      <c r="CA142" s="71">
        <f t="shared" ref="CA142:CA205" si="143">MIN(A142:BI142)</f>
        <v>3.63</v>
      </c>
      <c r="CB142" s="71">
        <f t="shared" si="136"/>
        <v>4.9000000000000004</v>
      </c>
      <c r="CC142" s="71">
        <f t="shared" ref="CC142:CC205" si="144">AVERAGE(A142:BI142)</f>
        <v>4.2277049180327868</v>
      </c>
      <c r="CD142" s="17"/>
      <c r="CE142" s="43">
        <f t="shared" si="141"/>
        <v>3.3718207881739288</v>
      </c>
      <c r="CF142" s="18">
        <f>FORECAST("04/07/2025", BF142:BI142, $BF$5:$BI$5)</f>
        <v>3.5699999999999932</v>
      </c>
      <c r="CG142" s="43">
        <f t="shared" si="142"/>
        <v>3.7681792118260575</v>
      </c>
      <c r="CI142" s="17"/>
      <c r="CJ142" s="20">
        <f>CA142-2*(CB142-CM142)</f>
        <v>1.9699999999999998</v>
      </c>
      <c r="CK142" s="20">
        <f>CM142-(CB142-CA142)</f>
        <v>2.8</v>
      </c>
      <c r="CL142" s="20">
        <f>2*CM142-CB142</f>
        <v>3.24</v>
      </c>
      <c r="CM142" s="48">
        <f>(CB142+CA142+BI142)/3</f>
        <v>4.07</v>
      </c>
      <c r="CN142" s="20">
        <f>2*CM142-CA142</f>
        <v>4.5100000000000007</v>
      </c>
      <c r="CO142" s="20">
        <f>CM142+(CB142-CA142)</f>
        <v>5.3400000000000007</v>
      </c>
      <c r="CP142" s="20">
        <f>CB142+2*(CM142-CA142)</f>
        <v>5.7800000000000011</v>
      </c>
      <c r="CQ142" s="2" cm="1">
        <f t="array" aca="1" ref="CQ142" ca="1">MAX(_xlfn._xlws.FILTER(CJ142:CP142,CJ142:CP142&lt;BJ142))</f>
        <v>3.24</v>
      </c>
      <c r="CR142" s="2" cm="1">
        <f t="array" aca="1" ref="CR142" ca="1">MIN(_xlfn._xlws.FILTER($CJ142:$CP142,$CJ142:$CP142&gt;BJ142))</f>
        <v>4.07</v>
      </c>
      <c r="CS142" s="19">
        <f t="shared" ca="1" si="117"/>
        <v>0.25617283950617287</v>
      </c>
      <c r="CT142" s="23">
        <f t="shared" ca="1" si="118"/>
        <v>-0.12808641975308643</v>
      </c>
      <c r="CU142" s="23">
        <f t="shared" ca="1" si="119"/>
        <v>-8.5390946502057627E-2</v>
      </c>
      <c r="CV142" s="23">
        <f t="shared" ca="1" si="120"/>
        <v>-5.1234567901234575E-2</v>
      </c>
      <c r="CW142" s="23">
        <f t="shared" ca="1" si="121"/>
        <v>-2.8463648834019209E-2</v>
      </c>
      <c r="CX142" s="23">
        <f t="shared" ca="1" si="122"/>
        <v>-1.5068990559186639E-2</v>
      </c>
      <c r="CY142" s="23">
        <f t="shared" ca="1" si="123"/>
        <v>-7.762813318368875E-3</v>
      </c>
      <c r="CZ142" s="23">
        <f t="shared" ca="1" si="124"/>
        <v>-3.9411206077872747E-3</v>
      </c>
      <c r="DA142" s="24">
        <f t="shared" ca="1" si="125"/>
        <v>3.9411206077872747E-3</v>
      </c>
      <c r="DB142" s="24">
        <f t="shared" ca="1" si="126"/>
        <v>7.762813318368875E-3</v>
      </c>
      <c r="DC142" s="24">
        <f t="shared" ca="1" si="127"/>
        <v>1.5068990559186639E-2</v>
      </c>
      <c r="DD142" s="24">
        <f t="shared" ca="1" si="128"/>
        <v>2.8463648834019209E-2</v>
      </c>
      <c r="DE142" s="24">
        <f t="shared" ca="1" si="129"/>
        <v>5.1234567901234575E-2</v>
      </c>
      <c r="DF142" s="24">
        <f t="shared" ca="1" si="130"/>
        <v>8.5390946502057627E-2</v>
      </c>
      <c r="DG142" s="24">
        <f t="shared" ca="1" si="131"/>
        <v>0.12808641975308643</v>
      </c>
      <c r="DI142" s="19" cm="1">
        <f t="array" aca="1" ref="DI142" ca="1">MAX(_xlfn._xlws.FILTER(CT142:DG142,CT142:DG142&lt;BP142))</f>
        <v>7.762813318368875E-3</v>
      </c>
      <c r="DJ142" s="19" cm="1">
        <f t="array" aca="1" ref="DJ142" ca="1">MIN(_xlfn._xlws.FILTER(CT142:DG142,CT142:DG142&gt;BP142))</f>
        <v>1.5068990559186639E-2</v>
      </c>
      <c r="DK142" s="2" cm="1">
        <f t="array" aca="1" ref="DK142" ca="1">_FV(EH142,"Fechamento anterior",TRUE)</f>
        <v>3.68</v>
      </c>
      <c r="DL142" s="36">
        <f ca="1">(BJ142-DM142)/(DN142-DM142)</f>
        <v>0.79715328706127631</v>
      </c>
      <c r="DM142" s="18">
        <f t="shared" ca="1" si="132"/>
        <v>3.7085671530115976</v>
      </c>
      <c r="DN142" s="18">
        <f t="shared" ca="1" si="133"/>
        <v>3.7354538852578072</v>
      </c>
      <c r="DO142" s="9"/>
      <c r="DP142" s="9"/>
      <c r="DQ142" s="94">
        <v>2.1172904278885404E-2</v>
      </c>
      <c r="DR142" s="94">
        <v>6.793445223171787E-3</v>
      </c>
      <c r="DS142" s="94">
        <v>6.4537493042491918E-3</v>
      </c>
      <c r="DT142" s="94">
        <f t="shared" ca="1" si="137"/>
        <v>7.3061772408177638E-3</v>
      </c>
      <c r="DU142" s="87">
        <f ca="1">(BJ142-CF142)/(CF142-CE142)</f>
        <v>0.80735006727362379</v>
      </c>
      <c r="DV142" s="46"/>
      <c r="DW142" s="43">
        <f>_xlfn.STDEV.P(BF142:BI142)</f>
        <v>9.9089605913032119E-2</v>
      </c>
      <c r="DX142" s="76">
        <f ca="1">BO142-$DT$2</f>
        <v>-0.64870000000000005</v>
      </c>
      <c r="DY142" s="76">
        <f ca="1">BO142-BP142*100</f>
        <v>-1.0103</v>
      </c>
      <c r="DZ142" s="101"/>
      <c r="EA142" s="100">
        <v>-2.7940999999999998</v>
      </c>
      <c r="EB142" s="107">
        <v>-2.2155000000000005</v>
      </c>
      <c r="EC142" s="107">
        <v>-9.0099999999999958E-2</v>
      </c>
      <c r="ED142" s="98">
        <f t="shared" ca="1" si="138"/>
        <v>0.36159999999999992</v>
      </c>
      <c r="EE142" s="66"/>
      <c r="EF142" s="66"/>
      <c r="EH142" s="2" t="e" vm="143">
        <v>#VALUE!</v>
      </c>
      <c r="EJ142" s="10" cm="1">
        <f t="array" aca="1" ref="EJ142" ca="1">_FV(EH142,"Ações em circulação",TRUE)</f>
        <v>1235936000</v>
      </c>
      <c r="EK142" s="21">
        <f>VLOOKUP(BK142,Fundamentus!A:U,5,FALSE)</f>
        <v>1.1850000000000001</v>
      </c>
      <c r="EL142" s="2">
        <f ca="1">(BJ142*EJ142)/EK142</f>
        <v>3890330194.0928268</v>
      </c>
      <c r="EM142" s="20">
        <v>388807734.87257385</v>
      </c>
      <c r="EN142" s="20">
        <f t="shared" ca="1" si="139"/>
        <v>394090448.66160339</v>
      </c>
      <c r="EP142" s="19">
        <f t="shared" ca="1" si="134"/>
        <v>1.3586956521739246E-2</v>
      </c>
      <c r="EQ142" s="40" t="str">
        <f>IF(VLOOKUP(BK142,Fundamentus!A:U,3,FALSE)&lt;15,"Bom",IF(VLOOKUP(BK142,Fundamentus!A:U,3,FALSE)&gt;15,"Ruim","n/a"))</f>
        <v>Bom</v>
      </c>
      <c r="ER142" s="36" t="str">
        <f>IF(VLOOKUP(BK142,Fundamentus!A:U,4,FALSE)&lt;1,"Baixo",IF(VLOOKUP(BK142,Fundamentus!A:U,4,FALSE)&lt;1.5,"Moderado",IF(VLOOKUP(BK142,Fundamentus!A:U,4,FALSE)&gt;1.5,"Alto","n/a")))</f>
        <v>Alto</v>
      </c>
      <c r="ES142" s="20" t="str">
        <f>IF(VLOOKUP(BK142,Fundamentus!A:U,8,FALSE)&lt;0,"Risco elevado",IF(VLOOKUP(BK142,Fundamentus!A:U,8,FALSE)&lt;1,"Saudável",IF(VLOOKUP(BK142,Fundamentus!A:U,8,FALSE)&lt;3,"Estável",IF(VLOOKUP(BK142,Fundamentus!A:U,8,FALSE)&gt;3,"Alerta","n/a"))))</f>
        <v>Alerta</v>
      </c>
      <c r="ET142" s="36" t="str">
        <f t="shared" si="140"/>
        <v>Bom</v>
      </c>
      <c r="EU142" s="20" t="str">
        <f>IF(VLOOKUP(BK142,Fundamentus!A:U,12,FALSE)&lt;2,"Subvalorizada",IF(VLOOKUP(BK142,Fundamentus!A:U,12,FALSE)&lt;6,"Muita barata",IF(VLOOKUP(BK142,Fundamentus!A:U,12,FALSE)&lt;6,"Barata",IF(VLOOKUP(BK142,Fundamentus!A:U,12,FALSE)&lt;8,"Atrativa",IF(VLOOKUP(BK142,Fundamentus!A:U,12,FALSE)&gt;8,"Supervalorizada","n/a")))))</f>
        <v>Muita barata</v>
      </c>
      <c r="EW142" s="20" t="str">
        <f>IF(VLOOKUP(BK142,Fundamentus!A:U,17,FALSE)&lt;0.1,"Fraco retorno",IF(VLOOKUP(BK142,Fundamentus!A:U,17,FALSE)&gt;0.1,"Bom retorno","n/a"))</f>
        <v>Bom retorno</v>
      </c>
      <c r="EX142" s="20" t="str">
        <f>IF(VLOOKUP(BK142,Fundamentus!A:U,16,FALSE)&lt;0.1,"Ineficiente",IF(VLOOKUP(BK142,Fundamentus!A:U,16,FALSE)&gt;0.1,"Eficiente","n/a"))</f>
        <v>Ineficiente</v>
      </c>
      <c r="EY142" s="41" t="str">
        <f>IF(VLOOKUP(BK142,Fundamentus!A:U,16,FALSE)&lt;0.1,"Oper. Ineficiente",IF(VLOOKUP(BK142,Fundamentus!A:U,16,FALSE)&gt;0.1,"Oper.Eficiente","n/a"))</f>
        <v>Oper. Ineficiente</v>
      </c>
      <c r="EZ142" s="42">
        <f>VLOOKUP(BK142,Fundamentus!A:U,14,FALSE)</f>
        <v>0.1013</v>
      </c>
      <c r="FA142" s="20" t="str">
        <f>IF(VLOOKUP(BK142,Fundamentus!A:U,21,FALSE)&lt;0,"Negativo",IF(VLOOKUP(BK142,Fundamentus!A:U,21,FALSE)&lt;0.05,"Fraco",IF(VLOOKUP(BK142,Fundamentus!A:U,21,FALSE)&lt;0.1,"Bom",IF(VLOOKUP(BK142,Fundamentus!A:U,21,FALSE)&gt;0.1,"Muito bom","n/a"))))</f>
        <v>Bom</v>
      </c>
      <c r="FC142" s="37" t="str">
        <f>IF(VLOOKUP(BK142,Fundamentus!A:U,15,FALSE)&gt;1,"Bom",IF(VLOOKUP(BK142,Fundamentus!A:U,15,FALSE)&lt;1,"Ruim","n/a"))</f>
        <v>Bom</v>
      </c>
      <c r="FD142" s="20" t="str">
        <f>IF(VLOOKUP(BK142,Fundamentus!A:U,20,FALSE)&lt;0.5,"Baixa",IF(VLOOKUP(BK142,Fundamentus!A:U,20,FALSE)&lt;1,"Moderada",IF(VLOOKUP(BK142,Fundamentus!A:U,20,FALSE)&lt;2,"Alerta",IF(VLOOKUP(BK142,Fundamentus!A:U,20,FALSE)&gt;2,"Alta","n/a"))))</f>
        <v>Alta</v>
      </c>
      <c r="FE142" s="10"/>
    </row>
    <row r="143" spans="1:161" s="2" customFormat="1" ht="11.25" hidden="1"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8">
        <v>7.67</v>
      </c>
      <c r="BC143" s="62">
        <v>7.72</v>
      </c>
      <c r="BD143" s="62">
        <v>7.76</v>
      </c>
      <c r="BE143" s="62">
        <v>7.99</v>
      </c>
      <c r="BF143" s="62">
        <v>7.82</v>
      </c>
      <c r="BG143" s="81">
        <v>7.78</v>
      </c>
      <c r="BH143" s="62">
        <v>7.73</v>
      </c>
      <c r="BI143" s="62">
        <v>7.9</v>
      </c>
      <c r="BJ143" s="62" cm="1">
        <f t="array" aca="1" ref="BJ143" ca="1">_FV(EH143,"Preço")</f>
        <v>8.16</v>
      </c>
      <c r="BK143" s="83" t="s">
        <v>139</v>
      </c>
      <c r="BL143" s="44" cm="1">
        <f t="array" aca="1" ref="BL143" ca="1">_FV(EH143,"Média de volume",TRUE)</f>
        <v>2817940</v>
      </c>
      <c r="BM143" s="44">
        <v>2227900</v>
      </c>
      <c r="BN143" s="44" cm="1">
        <f t="array" aca="1" ref="BN143" ca="1">_FV(EH143,"Volume")</f>
        <v>4349600</v>
      </c>
      <c r="BO143" s="32" cm="1">
        <f t="array" aca="1" ref="BO143" ca="1">_FV(EH143,"Beta")</f>
        <v>1.2963</v>
      </c>
      <c r="BP143" s="86" cm="1">
        <f t="array" aca="1" ref="BP143" ca="1">_FV(EH143,"Variação (%)",TRUE)</f>
        <v>3.2911000000000003E-2</v>
      </c>
      <c r="BQ143" s="48"/>
      <c r="BR143" s="48"/>
      <c r="BT143" s="20" cm="1">
        <f t="array" aca="1" ref="BT143" ca="1">_FV(EH143,"Baixo")</f>
        <v>7.79</v>
      </c>
      <c r="BU143" s="20" cm="1">
        <f t="array" aca="1" ref="BU143" ca="1">_FV(EH143,"Alto")</f>
        <v>8.17</v>
      </c>
      <c r="BV143" s="32"/>
      <c r="BW143" s="73">
        <f ca="1">SQRT(22.5*(BJ143/VLOOKUP(BK143,Fundamentus!A:U,3,FALSE))*(BJ143/VLOOKUP(BK143,Fundamentus!A:U,4,FALSE)))</f>
        <v>8.2625409559366432</v>
      </c>
      <c r="BY143" s="72">
        <f t="shared" ca="1" si="135"/>
        <v>3.2911392405063265E-2</v>
      </c>
      <c r="BZ143" s="8"/>
      <c r="CA143" s="71">
        <f t="shared" si="143"/>
        <v>5.96</v>
      </c>
      <c r="CB143" s="71">
        <f t="shared" si="136"/>
        <v>8.09</v>
      </c>
      <c r="CC143" s="71">
        <f t="shared" si="144"/>
        <v>7.2586065573770515</v>
      </c>
      <c r="CD143" s="17"/>
      <c r="CE143" s="43">
        <f t="shared" si="141"/>
        <v>7.7306014469537567</v>
      </c>
      <c r="CF143" s="18">
        <f>FORECAST("04/07/2025", BF143:BI143, $BF$5:$BI$5)</f>
        <v>7.855000000000004</v>
      </c>
      <c r="CG143" s="43">
        <f t="shared" si="142"/>
        <v>7.9793985530462512</v>
      </c>
      <c r="CI143" s="17"/>
      <c r="CJ143" s="20">
        <f>CA143-2*(CB143-CM143)</f>
        <v>4.4133333333333349</v>
      </c>
      <c r="CK143" s="20">
        <f>CM143-(CB143-CA143)</f>
        <v>5.1866666666666674</v>
      </c>
      <c r="CL143" s="20">
        <f>2*CM143-CB143</f>
        <v>6.5433333333333348</v>
      </c>
      <c r="CM143" s="48">
        <f>(CB143+CA143+BI143)/3</f>
        <v>7.3166666666666673</v>
      </c>
      <c r="CN143" s="20">
        <f>2*CM143-CA143</f>
        <v>8.6733333333333356</v>
      </c>
      <c r="CO143" s="20">
        <f>CM143+(CB143-CA143)</f>
        <v>9.4466666666666672</v>
      </c>
      <c r="CP143" s="20">
        <f>CB143+2*(CM143-CA143)</f>
        <v>10.803333333333335</v>
      </c>
      <c r="CQ143" s="2" cm="1">
        <f t="array" aca="1" ref="CQ143" ca="1">MAX(_xlfn._xlws.FILTER(CJ143:CP143,CJ143:CP143&lt;BJ143))</f>
        <v>7.3166666666666673</v>
      </c>
      <c r="CR143" s="2" cm="1">
        <f t="array" aca="1" ref="CR143" ca="1">MIN(_xlfn._xlws.FILTER($CJ143:$CP143,$CJ143:$CP143&gt;BJ143))</f>
        <v>8.6733333333333356</v>
      </c>
      <c r="CS143" s="19">
        <f t="shared" ca="1" si="117"/>
        <v>0.18542141230068365</v>
      </c>
      <c r="CT143" s="23">
        <f t="shared" ca="1" si="118"/>
        <v>-9.2710706150341826E-2</v>
      </c>
      <c r="CU143" s="23">
        <f t="shared" ca="1" si="119"/>
        <v>-6.180713743356122E-2</v>
      </c>
      <c r="CV143" s="23">
        <f t="shared" ca="1" si="120"/>
        <v>-3.708428246013673E-2</v>
      </c>
      <c r="CW143" s="23">
        <f t="shared" ca="1" si="121"/>
        <v>-2.0602379144520407E-2</v>
      </c>
      <c r="CX143" s="23">
        <f t="shared" ca="1" si="122"/>
        <v>-1.0907141900040215E-2</v>
      </c>
      <c r="CY143" s="23">
        <f t="shared" ca="1" si="123"/>
        <v>-5.6188306757782927E-3</v>
      </c>
      <c r="CZ143" s="23">
        <f t="shared" ca="1" si="124"/>
        <v>-2.8526371123182102E-3</v>
      </c>
      <c r="DA143" s="24">
        <f t="shared" ca="1" si="125"/>
        <v>2.8526371123182102E-3</v>
      </c>
      <c r="DB143" s="24">
        <f t="shared" ca="1" si="126"/>
        <v>5.6188306757782927E-3</v>
      </c>
      <c r="DC143" s="24">
        <f t="shared" ca="1" si="127"/>
        <v>1.0907141900040215E-2</v>
      </c>
      <c r="DD143" s="24">
        <f t="shared" ca="1" si="128"/>
        <v>2.0602379144520407E-2</v>
      </c>
      <c r="DE143" s="24">
        <f t="shared" ca="1" si="129"/>
        <v>3.708428246013673E-2</v>
      </c>
      <c r="DF143" s="24">
        <f t="shared" ca="1" si="130"/>
        <v>6.180713743356122E-2</v>
      </c>
      <c r="DG143" s="24">
        <f t="shared" ca="1" si="131"/>
        <v>9.2710706150341826E-2</v>
      </c>
      <c r="DI143" s="19" cm="1">
        <f t="array" aca="1" ref="DI143" ca="1">MAX(_xlfn._xlws.FILTER(CT143:DG143,CT143:DG143&lt;BP143))</f>
        <v>2.0602379144520407E-2</v>
      </c>
      <c r="DJ143" s="19" cm="1">
        <f t="array" aca="1" ref="DJ143" ca="1">MIN(_xlfn._xlws.FILTER(CT143:DG143,CT143:DG143&gt;BP143))</f>
        <v>3.708428246013673E-2</v>
      </c>
      <c r="DK143" s="2" cm="1">
        <f t="array" aca="1" ref="DK143" ca="1">_FV(EH143,"Fechamento anterior",TRUE)</f>
        <v>7.9</v>
      </c>
      <c r="DL143" s="36">
        <f ca="1">(BJ143-DM143)/(DN143-DM143)</f>
        <v>0.74681989238951196</v>
      </c>
      <c r="DM143" s="18">
        <f t="shared" ca="1" si="132"/>
        <v>8.0627587952417112</v>
      </c>
      <c r="DN143" s="18">
        <f t="shared" ca="1" si="133"/>
        <v>8.1929658314350799</v>
      </c>
      <c r="DO143" s="9"/>
      <c r="DP143" s="9"/>
      <c r="DQ143" s="94">
        <v>5.346224939570602E-3</v>
      </c>
      <c r="DR143" s="94">
        <v>2.5921090616099884E-3</v>
      </c>
      <c r="DS143" s="94">
        <v>1.6083880490660146E-2</v>
      </c>
      <c r="DT143" s="94">
        <f t="shared" ca="1" si="137"/>
        <v>1.6481903315616324E-2</v>
      </c>
      <c r="DU143" s="87">
        <f ca="1">(BJ143-CF143)/(CF143-CE143)</f>
        <v>2.4517970067272992</v>
      </c>
      <c r="DV143" s="46"/>
      <c r="DW143" s="43">
        <f>_xlfn.STDEV.P(BF143:BI143)</f>
        <v>6.2199276523123626E-2</v>
      </c>
      <c r="DX143" s="76">
        <f ca="1">BO143-$DT$2</f>
        <v>0.29919999999999991</v>
      </c>
      <c r="DY143" s="76">
        <f ca="1">BO143-BP143*100</f>
        <v>-1.9948000000000001</v>
      </c>
      <c r="DZ143" s="101"/>
      <c r="EA143" s="100">
        <v>1.3088</v>
      </c>
      <c r="EB143" s="107">
        <v>-2.1330999999999998</v>
      </c>
      <c r="EC143" s="107">
        <v>-0.44799999999999995</v>
      </c>
      <c r="ED143" s="98">
        <f t="shared" ca="1" si="138"/>
        <v>2.294</v>
      </c>
      <c r="EE143" s="66"/>
      <c r="EF143" s="66"/>
      <c r="EH143" s="2" t="e" vm="144">
        <v>#VALUE!</v>
      </c>
      <c r="EJ143" s="10" cm="1">
        <f t="array" aca="1" ref="EJ143" ca="1">_FV(EH143,"Ações em circulação",TRUE)</f>
        <v>2248470000</v>
      </c>
      <c r="EK143" s="21">
        <f>VLOOKUP(BK143,Fundamentus!A:U,5,FALSE)</f>
        <v>0.53</v>
      </c>
      <c r="EL143" s="2">
        <f ca="1">(BJ143*EJ143)/EK143</f>
        <v>34617953207.547165</v>
      </c>
      <c r="EM143" s="20">
        <v>1434439012.0754716</v>
      </c>
      <c r="EN143" s="20">
        <f t="shared" ca="1" si="139"/>
        <v>1481648397.2830186</v>
      </c>
      <c r="EP143" s="19">
        <f t="shared" ca="1" si="134"/>
        <v>3.2911392405063244E-2</v>
      </c>
      <c r="EQ143" s="40" t="str">
        <f>IF(VLOOKUP(BK143,Fundamentus!A:U,3,FALSE)&lt;15,"Bom",IF(VLOOKUP(BK143,Fundamentus!A:U,3,FALSE)&gt;15,"Ruim","n/a"))</f>
        <v>Bom</v>
      </c>
      <c r="ER143" s="36" t="str">
        <f>IF(VLOOKUP(BK143,Fundamentus!A:U,4,FALSE)&lt;1,"Baixo",IF(VLOOKUP(BK143,Fundamentus!A:U,4,FALSE)&lt;1.5,"Moderado",IF(VLOOKUP(BK143,Fundamentus!A:U,4,FALSE)&gt;1.5,"Alto","n/a")))</f>
        <v>Alto</v>
      </c>
      <c r="ES143" s="20" t="str">
        <f>IF(VLOOKUP(BK143,Fundamentus!A:U,8,FALSE)&lt;0,"Risco elevado",IF(VLOOKUP(BK143,Fundamentus!A:U,8,FALSE)&lt;1,"Saudável",IF(VLOOKUP(BK143,Fundamentus!A:U,8,FALSE)&lt;3,"Estável",IF(VLOOKUP(BK143,Fundamentus!A:U,8,FALSE)&gt;3,"Alerta","n/a"))))</f>
        <v>Estável</v>
      </c>
      <c r="ET143" s="36" t="str">
        <f t="shared" si="140"/>
        <v>Ruim</v>
      </c>
      <c r="EU143" s="20" t="str">
        <f>IF(VLOOKUP(BK143,Fundamentus!A:U,12,FALSE)&lt;2,"Subvalorizada",IF(VLOOKUP(BK143,Fundamentus!A:U,12,FALSE)&lt;6,"Muita barata",IF(VLOOKUP(BK143,Fundamentus!A:U,12,FALSE)&lt;6,"Barata",IF(VLOOKUP(BK143,Fundamentus!A:U,12,FALSE)&lt;8,"Atrativa",IF(VLOOKUP(BK143,Fundamentus!A:U,12,FALSE)&gt;8,"Supervalorizada","n/a")))))</f>
        <v>Atrativa</v>
      </c>
      <c r="EW143" s="20" t="str">
        <f>IF(VLOOKUP(BK143,Fundamentus!A:U,17,FALSE)&lt;0.1,"Fraco retorno",IF(VLOOKUP(BK143,Fundamentus!A:U,17,FALSE)&gt;0.1,"Bom retorno","n/a"))</f>
        <v>Bom retorno</v>
      </c>
      <c r="EX143" s="20" t="str">
        <f>IF(VLOOKUP(BK143,Fundamentus!A:U,16,FALSE)&lt;0.1,"Ineficiente",IF(VLOOKUP(BK143,Fundamentus!A:U,16,FALSE)&gt;0.1,"Eficiente","n/a"))</f>
        <v>Eficiente</v>
      </c>
      <c r="EY143" s="41" t="str">
        <f>IF(VLOOKUP(BK143,Fundamentus!A:U,16,FALSE)&lt;0.1,"Oper. Ineficiente",IF(VLOOKUP(BK143,Fundamentus!A:U,16,FALSE)&gt;0.1,"Oper.Eficiente","n/a"))</f>
        <v>Oper.Eficiente</v>
      </c>
      <c r="EZ143" s="42">
        <f>VLOOKUP(BK143,Fundamentus!A:U,14,FALSE)</f>
        <v>4.2799999999999998E-2</v>
      </c>
      <c r="FA143" s="20" t="str">
        <f>IF(VLOOKUP(BK143,Fundamentus!A:U,21,FALSE)&lt;0,"Negativo",IF(VLOOKUP(BK143,Fundamentus!A:U,21,FALSE)&lt;0.05,"Fraco",IF(VLOOKUP(BK143,Fundamentus!A:U,21,FALSE)&lt;0.1,"Bom",IF(VLOOKUP(BK143,Fundamentus!A:U,21,FALSE)&gt;0.1,"Muito bom","n/a"))))</f>
        <v>Muito bom</v>
      </c>
      <c r="FC143" s="37" t="str">
        <f>IF(VLOOKUP(BK143,Fundamentus!A:U,15,FALSE)&gt;1,"Bom",IF(VLOOKUP(BK143,Fundamentus!A:U,15,FALSE)&lt;1,"Ruim","n/a"))</f>
        <v>Bom</v>
      </c>
      <c r="FD143" s="20" t="str">
        <f>IF(VLOOKUP(BK143,Fundamentus!A:U,20,FALSE)&lt;0.5,"Baixa",IF(VLOOKUP(BK143,Fundamentus!A:U,20,FALSE)&lt;1,"Moderada",IF(VLOOKUP(BK143,Fundamentus!A:U,20,FALSE)&lt;2,"Alerta",IF(VLOOKUP(BK143,Fundamentus!A:U,20,FALSE)&gt;2,"Alta","n/a"))))</f>
        <v>Baixa</v>
      </c>
      <c r="FE143" s="10"/>
    </row>
    <row r="144" spans="1:161" s="2" customFormat="1" ht="11.25" hidden="1"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8">
        <v>19.57</v>
      </c>
      <c r="BC144" s="62">
        <v>19.82</v>
      </c>
      <c r="BD144" s="62">
        <v>19.3</v>
      </c>
      <c r="BE144" s="62">
        <v>19.489999999999998</v>
      </c>
      <c r="BF144" s="62">
        <v>20.149999999999999</v>
      </c>
      <c r="BG144" s="81">
        <v>20.56</v>
      </c>
      <c r="BH144" s="62">
        <v>21.52</v>
      </c>
      <c r="BI144" s="62">
        <v>21.33</v>
      </c>
      <c r="BJ144" s="62" cm="1">
        <f t="array" aca="1" ref="BJ144" ca="1">_FV(EH144,"Preço")</f>
        <v>21.72</v>
      </c>
      <c r="BK144" s="83" t="s">
        <v>140</v>
      </c>
      <c r="BL144" s="44" cm="1">
        <f t="array" aca="1" ref="BL144" ca="1">_FV(EH144,"Média de volume",TRUE)</f>
        <v>6504370</v>
      </c>
      <c r="BM144" s="44">
        <v>4854300</v>
      </c>
      <c r="BN144" s="44" cm="1">
        <f t="array" aca="1" ref="BN144" ca="1">_FV(EH144,"Volume")</f>
        <v>1660600</v>
      </c>
      <c r="BO144" s="32" cm="1">
        <f t="array" aca="1" ref="BO144" ca="1">_FV(EH144,"Beta")</f>
        <v>0.68669999999999998</v>
      </c>
      <c r="BP144" s="86" cm="1">
        <f t="array" aca="1" ref="BP144" ca="1">_FV(EH144,"Variação (%)",TRUE)</f>
        <v>1.8284000000000002E-2</v>
      </c>
      <c r="BQ144" s="48"/>
      <c r="BR144" s="48"/>
      <c r="BT144" s="20" cm="1">
        <f t="array" aca="1" ref="BT144" ca="1">_FV(EH144,"Baixo")</f>
        <v>21.19</v>
      </c>
      <c r="BU144" s="20" cm="1">
        <f t="array" aca="1" ref="BU144" ca="1">_FV(EH144,"Alto")</f>
        <v>21.74</v>
      </c>
      <c r="BV144" s="32"/>
      <c r="BW144" s="73" t="e">
        <f ca="1">SQRT(22.5*(BJ144/VLOOKUP(BK144,Fundamentus!A:U,3,FALSE))*(BJ144/VLOOKUP(BK144,Fundamentus!A:U,4,FALSE)))</f>
        <v>#DIV/0!</v>
      </c>
      <c r="BY144" s="72">
        <f t="shared" ca="1" si="135"/>
        <v>1.8284106891701856E-2</v>
      </c>
      <c r="BZ144" s="8"/>
      <c r="CA144" s="71">
        <f t="shared" si="143"/>
        <v>13.82</v>
      </c>
      <c r="CB144" s="71">
        <f t="shared" si="136"/>
        <v>21.52</v>
      </c>
      <c r="CC144" s="71">
        <f t="shared" si="144"/>
        <v>17.199918032786883</v>
      </c>
      <c r="CD144" s="17"/>
      <c r="CE144" s="43">
        <f t="shared" si="141"/>
        <v>20.898308457988382</v>
      </c>
      <c r="CF144" s="18">
        <f>FORECAST("04/07/2025", BF144:BI144, $BF$5:$BI$5)</f>
        <v>22.014999999999873</v>
      </c>
      <c r="CG144" s="43">
        <f t="shared" si="142"/>
        <v>23.131691542011364</v>
      </c>
      <c r="CI144" s="17"/>
      <c r="CJ144" s="20">
        <f>CA144-2*(CB144-CM144)</f>
        <v>8.5600000000000023</v>
      </c>
      <c r="CK144" s="20">
        <f>CM144-(CB144-CA144)</f>
        <v>11.190000000000001</v>
      </c>
      <c r="CL144" s="20">
        <f>2*CM144-CB144</f>
        <v>16.260000000000002</v>
      </c>
      <c r="CM144" s="48">
        <f>(CB144+CA144+BI144)/3</f>
        <v>18.89</v>
      </c>
      <c r="CN144" s="20">
        <f>2*CM144-CA144</f>
        <v>23.96</v>
      </c>
      <c r="CO144" s="20">
        <f>CM144+(CB144-CA144)</f>
        <v>26.59</v>
      </c>
      <c r="CP144" s="20">
        <f>CB144+2*(CM144-CA144)</f>
        <v>31.66</v>
      </c>
      <c r="CQ144" s="2" cm="1">
        <f t="array" aca="1" ref="CQ144" ca="1">MAX(_xlfn._xlws.FILTER(CJ144:CP144,CJ144:CP144&lt;BJ144))</f>
        <v>18.89</v>
      </c>
      <c r="CR144" s="2" cm="1">
        <f t="array" aca="1" ref="CR144" ca="1">MIN(_xlfn._xlws.FILTER($CJ144:$CP144,$CJ144:$CP144&gt;BJ144))</f>
        <v>23.96</v>
      </c>
      <c r="CS144" s="19">
        <f t="shared" ca="1" si="117"/>
        <v>0.26839597670725257</v>
      </c>
      <c r="CT144" s="23">
        <f t="shared" ca="1" si="118"/>
        <v>-0.13419798835362629</v>
      </c>
      <c r="CU144" s="23">
        <f t="shared" ca="1" si="119"/>
        <v>-8.9465325569084195E-2</v>
      </c>
      <c r="CV144" s="23">
        <f t="shared" ca="1" si="120"/>
        <v>-5.3679195341450513E-2</v>
      </c>
      <c r="CW144" s="23">
        <f t="shared" ca="1" si="121"/>
        <v>-2.982177518969473E-2</v>
      </c>
      <c r="CX144" s="23">
        <f t="shared" ca="1" si="122"/>
        <v>-1.5787998629838387E-2</v>
      </c>
      <c r="CY144" s="23">
        <f t="shared" ca="1" si="123"/>
        <v>-8.1332114153712907E-3</v>
      </c>
      <c r="CZ144" s="23">
        <f t="shared" ca="1" si="124"/>
        <v>-4.1291688724192704E-3</v>
      </c>
      <c r="DA144" s="24">
        <f t="shared" ca="1" si="125"/>
        <v>4.1291688724192704E-3</v>
      </c>
      <c r="DB144" s="24">
        <f t="shared" ca="1" si="126"/>
        <v>8.1332114153712907E-3</v>
      </c>
      <c r="DC144" s="24">
        <f t="shared" ca="1" si="127"/>
        <v>1.5787998629838387E-2</v>
      </c>
      <c r="DD144" s="24">
        <f t="shared" ca="1" si="128"/>
        <v>2.982177518969473E-2</v>
      </c>
      <c r="DE144" s="24">
        <f t="shared" ca="1" si="129"/>
        <v>5.3679195341450513E-2</v>
      </c>
      <c r="DF144" s="24">
        <f t="shared" ca="1" si="130"/>
        <v>8.9465325569084195E-2</v>
      </c>
      <c r="DG144" s="24">
        <f t="shared" ca="1" si="131"/>
        <v>0.13419798835362629</v>
      </c>
      <c r="DI144" s="19" cm="1">
        <f t="array" aca="1" ref="DI144" ca="1">MAX(_xlfn._xlws.FILTER(CT144:DG144,CT144:DG144&lt;BP144))</f>
        <v>1.5787998629838387E-2</v>
      </c>
      <c r="DJ144" s="19" cm="1">
        <f t="array" aca="1" ref="DJ144" ca="1">MIN(_xlfn._xlws.FILTER(CT144:DG144,CT144:DG144&gt;BP144))</f>
        <v>2.982177518969473E-2</v>
      </c>
      <c r="DK144" s="2" cm="1">
        <f t="array" aca="1" ref="DK144" ca="1">_FV(EH144,"Fechamento anterior",TRUE)</f>
        <v>21.33</v>
      </c>
      <c r="DL144" s="36">
        <f ca="1">(BJ144-DM144)/(DN144-DM144)</f>
        <v>0.17786432976306543</v>
      </c>
      <c r="DM144" s="18">
        <f t="shared" ca="1" si="132"/>
        <v>21.666758010774451</v>
      </c>
      <c r="DN144" s="18">
        <f t="shared" ca="1" si="133"/>
        <v>21.966098464796186</v>
      </c>
      <c r="DO144" s="9"/>
      <c r="DP144" s="9"/>
      <c r="DQ144" s="94">
        <v>6.3540669856459306E-3</v>
      </c>
      <c r="DR144" s="94">
        <v>3.1550546575270801E-3</v>
      </c>
      <c r="DS144" s="94">
        <v>1.2829206430782478E-2</v>
      </c>
      <c r="DT144" s="94">
        <f t="shared" ca="1" si="137"/>
        <v>1.4033776559856343E-2</v>
      </c>
      <c r="DU144" s="87">
        <f ca="1">(BJ144-CF144)/(CF144-CE144)</f>
        <v>-0.26417321964173895</v>
      </c>
      <c r="DV144" s="46"/>
      <c r="DW144" s="43">
        <f>_xlfn.STDEV.P(BF144:BI144)</f>
        <v>0.55834577100574534</v>
      </c>
      <c r="DX144" s="76">
        <f ca="1">BO144-$DT$2</f>
        <v>-0.31040000000000012</v>
      </c>
      <c r="DY144" s="76">
        <f ca="1">BO144-BP144*100</f>
        <v>-1.1417000000000002</v>
      </c>
      <c r="DZ144" s="101"/>
      <c r="EA144" s="100">
        <v>0.91770000000000007</v>
      </c>
      <c r="EB144" s="107">
        <v>3.0875999999999997</v>
      </c>
      <c r="EC144" s="107">
        <v>-1.3881000000000001</v>
      </c>
      <c r="ED144" s="98">
        <f t="shared" ca="1" si="138"/>
        <v>0.83130000000000004</v>
      </c>
      <c r="EE144" s="66"/>
      <c r="EF144" s="66"/>
      <c r="EH144" s="2" t="e" vm="145">
        <v>#VALUE!</v>
      </c>
      <c r="EJ144" s="10" cm="1">
        <f t="array" aca="1" ref="EJ144" ca="1">_FV(EH144,"Ações em circulação",TRUE)</f>
        <v>2420804000</v>
      </c>
      <c r="EK144" s="21">
        <f>VLOOKUP(BK144,Fundamentus!A:U,5,FALSE)</f>
        <v>-8.1649999999999991</v>
      </c>
      <c r="EL144" s="2">
        <f ca="1">(BJ144*EJ144)/EK144</f>
        <v>-6439664774.0355177</v>
      </c>
      <c r="EM144" s="20">
        <v>-538807818.99130428</v>
      </c>
      <c r="EN144" s="20">
        <f t="shared" ca="1" si="139"/>
        <v>-548659438.7478261</v>
      </c>
      <c r="EP144" s="19">
        <f t="shared" ca="1" si="134"/>
        <v>1.8284106891701901E-2</v>
      </c>
      <c r="EQ144" s="40" t="str">
        <f>IF(VLOOKUP(BK144,Fundamentus!A:U,3,FALSE)&lt;15,"Bom",IF(VLOOKUP(BK144,Fundamentus!A:U,3,FALSE)&gt;15,"Ruim","n/a"))</f>
        <v>Bom</v>
      </c>
      <c r="ER144" s="36" t="str">
        <f>IF(VLOOKUP(BK144,Fundamentus!A:U,4,FALSE)&lt;1,"Baixo",IF(VLOOKUP(BK144,Fundamentus!A:U,4,FALSE)&lt;1.5,"Moderado",IF(VLOOKUP(BK144,Fundamentus!A:U,4,FALSE)&gt;1.5,"Alto","n/a")))</f>
        <v>Baixo</v>
      </c>
      <c r="ES144" s="20" t="str">
        <f>IF(VLOOKUP(BK144,Fundamentus!A:U,8,FALSE)&lt;0,"Risco elevado",IF(VLOOKUP(BK144,Fundamentus!A:U,8,FALSE)&lt;1,"Saudável",IF(VLOOKUP(BK144,Fundamentus!A:U,8,FALSE)&lt;3,"Estável",IF(VLOOKUP(BK144,Fundamentus!A:U,8,FALSE)&gt;3,"Alerta","n/a"))))</f>
        <v>Saudável</v>
      </c>
      <c r="ET144" s="36" t="str">
        <f t="shared" si="140"/>
        <v>Ruim</v>
      </c>
      <c r="EU144" s="20" t="str">
        <f>IF(VLOOKUP(BK144,Fundamentus!A:U,12,FALSE)&lt;2,"Subvalorizada",IF(VLOOKUP(BK144,Fundamentus!A:U,12,FALSE)&lt;6,"Muita barata",IF(VLOOKUP(BK144,Fundamentus!A:U,12,FALSE)&lt;6,"Barata",IF(VLOOKUP(BK144,Fundamentus!A:U,12,FALSE)&lt;8,"Atrativa",IF(VLOOKUP(BK144,Fundamentus!A:U,12,FALSE)&gt;8,"Supervalorizada","n/a")))))</f>
        <v>Subvalorizada</v>
      </c>
      <c r="EW144" s="20" t="str">
        <f>IF(VLOOKUP(BK144,Fundamentus!A:U,17,FALSE)&lt;0.1,"Fraco retorno",IF(VLOOKUP(BK144,Fundamentus!A:U,17,FALSE)&gt;0.1,"Bom retorno","n/a"))</f>
        <v>Fraco retorno</v>
      </c>
      <c r="EX144" s="20" t="str">
        <f>IF(VLOOKUP(BK144,Fundamentus!A:U,16,FALSE)&lt;0.1,"Ineficiente",IF(VLOOKUP(BK144,Fundamentus!A:U,16,FALSE)&gt;0.1,"Eficiente","n/a"))</f>
        <v>Ineficiente</v>
      </c>
      <c r="EY144" s="41" t="str">
        <f>IF(VLOOKUP(BK144,Fundamentus!A:U,16,FALSE)&lt;0.1,"Oper. Ineficiente",IF(VLOOKUP(BK144,Fundamentus!A:U,16,FALSE)&gt;0.1,"Oper.Eficiente","n/a"))</f>
        <v>Oper. Ineficiente</v>
      </c>
      <c r="EZ144" s="42">
        <f>VLOOKUP(BK144,Fundamentus!A:U,14,FALSE)</f>
        <v>8.5199999999999998E-2</v>
      </c>
      <c r="FA144" s="20" t="str">
        <f>IF(VLOOKUP(BK144,Fundamentus!A:U,21,FALSE)&lt;0,"Negativo",IF(VLOOKUP(BK144,Fundamentus!A:U,21,FALSE)&lt;0.05,"Fraco",IF(VLOOKUP(BK144,Fundamentus!A:U,21,FALSE)&lt;0.1,"Bom",IF(VLOOKUP(BK144,Fundamentus!A:U,21,FALSE)&gt;0.1,"Muito bom","n/a"))))</f>
        <v>Muito bom</v>
      </c>
      <c r="FC144" s="37" t="str">
        <f>IF(VLOOKUP(BK144,Fundamentus!A:U,15,FALSE)&gt;1,"Bom",IF(VLOOKUP(BK144,Fundamentus!A:U,15,FALSE)&lt;1,"Ruim","n/a"))</f>
        <v>Ruim</v>
      </c>
      <c r="FD144" s="20" t="str">
        <f>IF(VLOOKUP(BK144,Fundamentus!A:U,20,FALSE)&lt;0.5,"Baixa",IF(VLOOKUP(BK144,Fundamentus!A:U,20,FALSE)&lt;1,"Moderada",IF(VLOOKUP(BK144,Fundamentus!A:U,20,FALSE)&lt;2,"Alerta",IF(VLOOKUP(BK144,Fundamentus!A:U,20,FALSE)&gt;2,"Alta","n/a"))))</f>
        <v>Baixa</v>
      </c>
      <c r="FE144" s="10"/>
    </row>
    <row r="145" spans="1:161" s="2" customFormat="1" ht="11.25" hidden="1"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8">
        <v>22.28</v>
      </c>
      <c r="BC145" s="62">
        <v>22.99</v>
      </c>
      <c r="BD145" s="62">
        <v>22.39</v>
      </c>
      <c r="BE145" s="62">
        <v>22.27</v>
      </c>
      <c r="BF145" s="62">
        <v>22.5</v>
      </c>
      <c r="BG145" s="81">
        <v>22.84</v>
      </c>
      <c r="BH145" s="62">
        <v>22.61</v>
      </c>
      <c r="BI145" s="62">
        <v>22.56</v>
      </c>
      <c r="BJ145" s="62" cm="1">
        <f t="array" aca="1" ref="BJ145" ca="1">_FV(EH145,"Preço")</f>
        <v>22.7</v>
      </c>
      <c r="BK145" s="83" t="s">
        <v>141</v>
      </c>
      <c r="BL145" s="44" cm="1">
        <f t="array" aca="1" ref="BL145" ca="1">_FV(EH145,"Média de volume",TRUE)</f>
        <v>6775220</v>
      </c>
      <c r="BM145" s="44">
        <v>4100</v>
      </c>
      <c r="BN145" s="44" cm="1">
        <f t="array" aca="1" ref="BN145" ca="1">_FV(EH145,"Volume")</f>
        <v>500</v>
      </c>
      <c r="BO145" s="32" cm="1">
        <f t="array" aca="1" ref="BO145" ca="1">_FV(EH145,"Beta")</f>
        <v>1.3775999999999999</v>
      </c>
      <c r="BP145" s="86" cm="1">
        <f t="array" aca="1" ref="BP145" ca="1">_FV(EH145,"Variação (%)",TRUE)</f>
        <v>6.2060000000000006E-3</v>
      </c>
      <c r="BQ145" s="48"/>
      <c r="BR145" s="48"/>
      <c r="BT145" s="20" cm="1">
        <f t="array" aca="1" ref="BT145" ca="1">_FV(EH145,"Baixo")</f>
        <v>22.7</v>
      </c>
      <c r="BU145" s="20" cm="1">
        <f t="array" aca="1" ref="BU145" ca="1">_FV(EH145,"Alto")</f>
        <v>22.9</v>
      </c>
      <c r="BV145" s="32"/>
      <c r="BW145" s="73">
        <f ca="1">SQRT(22.5*(BJ145/VLOOKUP(BK145,Fundamentus!A:U,3,FALSE))*(BJ145/VLOOKUP(BK145,Fundamentus!A:U,4,FALSE)))</f>
        <v>11.070609911179096</v>
      </c>
      <c r="BY145" s="72">
        <f t="shared" ca="1" si="135"/>
        <v>6.2056737588652737E-3</v>
      </c>
      <c r="BZ145" s="8"/>
      <c r="CA145" s="71">
        <f t="shared" si="143"/>
        <v>13.87</v>
      </c>
      <c r="CB145" s="71">
        <f t="shared" si="136"/>
        <v>22.99</v>
      </c>
      <c r="CC145" s="71">
        <f t="shared" si="144"/>
        <v>17.069672131147541</v>
      </c>
      <c r="CD145" s="17"/>
      <c r="CE145" s="43">
        <f t="shared" si="141"/>
        <v>22.357560686762874</v>
      </c>
      <c r="CF145" s="18">
        <f>FORECAST("04/07/2025", BF145:BI145, $BF$5:$BI$5)</f>
        <v>22.614999999999995</v>
      </c>
      <c r="CG145" s="43">
        <f t="shared" si="142"/>
        <v>22.872439313237116</v>
      </c>
      <c r="CI145" s="17"/>
      <c r="CJ145" s="20">
        <f>CA145-2*(CB145-CM145)</f>
        <v>7.5033333333333392</v>
      </c>
      <c r="CK145" s="20">
        <f>CM145-(CB145-CA145)</f>
        <v>10.686666666666669</v>
      </c>
      <c r="CL145" s="20">
        <f>2*CM145-CB145</f>
        <v>16.623333333333338</v>
      </c>
      <c r="CM145" s="48">
        <f>(CB145+CA145+BI145)/3</f>
        <v>19.806666666666668</v>
      </c>
      <c r="CN145" s="20">
        <f>2*CM145-CA145</f>
        <v>25.743333333333339</v>
      </c>
      <c r="CO145" s="20">
        <f>CM145+(CB145-CA145)</f>
        <v>28.926666666666669</v>
      </c>
      <c r="CP145" s="20">
        <f>CB145+2*(CM145-CA145)</f>
        <v>34.863333333333337</v>
      </c>
      <c r="CQ145" s="2" cm="1">
        <f t="array" aca="1" ref="CQ145" ca="1">MAX(_xlfn._xlws.FILTER(CJ145:CP145,CJ145:CP145&lt;BJ145))</f>
        <v>19.806666666666668</v>
      </c>
      <c r="CR145" s="2" cm="1">
        <f t="array" aca="1" ref="CR145" ca="1">MIN(_xlfn._xlws.FILTER($CJ145:$CP145,$CJ145:$CP145&gt;BJ145))</f>
        <v>25.743333333333339</v>
      </c>
      <c r="CS145" s="19">
        <f t="shared" ca="1" si="117"/>
        <v>0.29973073039380704</v>
      </c>
      <c r="CT145" s="23">
        <f t="shared" ca="1" si="118"/>
        <v>-0.14986536519690352</v>
      </c>
      <c r="CU145" s="23">
        <f t="shared" ca="1" si="119"/>
        <v>-9.9910243464602352E-2</v>
      </c>
      <c r="CV145" s="23">
        <f t="shared" ca="1" si="120"/>
        <v>-5.9946146078761406E-2</v>
      </c>
      <c r="CW145" s="23">
        <f t="shared" ca="1" si="121"/>
        <v>-3.3303414488200782E-2</v>
      </c>
      <c r="CX145" s="23">
        <f t="shared" ca="1" si="122"/>
        <v>-1.7631219434929825E-2</v>
      </c>
      <c r="CY145" s="23">
        <f t="shared" ca="1" si="123"/>
        <v>-9.0827494058729405E-3</v>
      </c>
      <c r="CZ145" s="23">
        <f t="shared" ca="1" si="124"/>
        <v>-4.6112420060585701E-3</v>
      </c>
      <c r="DA145" s="24">
        <f t="shared" ca="1" si="125"/>
        <v>4.6112420060585701E-3</v>
      </c>
      <c r="DB145" s="24">
        <f t="shared" ca="1" si="126"/>
        <v>9.0827494058729405E-3</v>
      </c>
      <c r="DC145" s="24">
        <f t="shared" ca="1" si="127"/>
        <v>1.7631219434929825E-2</v>
      </c>
      <c r="DD145" s="24">
        <f t="shared" ca="1" si="128"/>
        <v>3.3303414488200782E-2</v>
      </c>
      <c r="DE145" s="24">
        <f t="shared" ca="1" si="129"/>
        <v>5.9946146078761406E-2</v>
      </c>
      <c r="DF145" s="24">
        <f t="shared" ca="1" si="130"/>
        <v>9.9910243464602352E-2</v>
      </c>
      <c r="DG145" s="24">
        <f t="shared" ca="1" si="131"/>
        <v>0.14986536519690352</v>
      </c>
      <c r="DI145" s="19" cm="1">
        <f t="array" aca="1" ref="DI145" ca="1">MAX(_xlfn._xlws.FILTER(CT145:DG145,CT145:DG145&lt;BP145))</f>
        <v>4.6112420060585701E-3</v>
      </c>
      <c r="DJ145" s="19" cm="1">
        <f t="array" aca="1" ref="DJ145" ca="1">MIN(_xlfn._xlws.FILTER(CT145:DG145,CT145:DG145&gt;BP145))</f>
        <v>9.0827494058729405E-3</v>
      </c>
      <c r="DK145" s="2" cm="1">
        <f t="array" aca="1" ref="DK145" ca="1">_FV(EH145,"Fechamento anterior",TRUE)</f>
        <v>22.56</v>
      </c>
      <c r="DL145" s="36">
        <f ca="1">(BJ145-DM145)/(DN145-DM145)</f>
        <v>0.35657589493710717</v>
      </c>
      <c r="DM145" s="18">
        <f t="shared" ca="1" si="132"/>
        <v>22.664029619656681</v>
      </c>
      <c r="DN145" s="18">
        <f t="shared" ca="1" si="133"/>
        <v>22.764906826596491</v>
      </c>
      <c r="DO145" s="9"/>
      <c r="DP145" s="9"/>
      <c r="DQ145" s="94">
        <v>2.1481076483810233E-2</v>
      </c>
      <c r="DR145" s="94">
        <v>7.4357572443958502E-3</v>
      </c>
      <c r="DS145" s="94">
        <v>4.5205046210071344E-3</v>
      </c>
      <c r="DT145" s="94">
        <f t="shared" ca="1" si="137"/>
        <v>4.4715073998143704E-3</v>
      </c>
      <c r="DU145" s="87">
        <f ca="1">(BJ145-CF145)/(CF145-CE145)</f>
        <v>0.33017490192615956</v>
      </c>
      <c r="DV145" s="46"/>
      <c r="DW145" s="43">
        <f>_xlfn.STDEV.P(BF145:BI145)</f>
        <v>0.12871965661856014</v>
      </c>
      <c r="DX145" s="76">
        <f ca="1">BO145-$DT$2</f>
        <v>0.38049999999999984</v>
      </c>
      <c r="DY145" s="76">
        <f ca="1">BO145-BP145*100</f>
        <v>0.7569999999999999</v>
      </c>
      <c r="DZ145" s="101"/>
      <c r="EA145" s="100">
        <v>-0.63870000000000005</v>
      </c>
      <c r="EB145" s="107">
        <v>-1.5107999999999997</v>
      </c>
      <c r="EC145" s="107">
        <v>-3.4911999999999996</v>
      </c>
      <c r="ED145" s="98">
        <f t="shared" ca="1" si="138"/>
        <v>-0.37650000000000006</v>
      </c>
      <c r="EE145" s="66"/>
      <c r="EF145" s="66"/>
      <c r="EH145" s="2" t="e" vm="146">
        <v>#VALUE!</v>
      </c>
      <c r="EJ145" s="10" cm="1">
        <f t="array" aca="1" ref="EJ145" ca="1">_FV(EH145,"Ações em circulação",TRUE)</f>
        <v>10108690000</v>
      </c>
      <c r="EK145" s="21">
        <f>VLOOKUP(BK145,Fundamentus!A:U,5,FALSE)</f>
        <v>0</v>
      </c>
      <c r="EL145" s="2" t="e">
        <f ca="1">(BJ145*EJ145)/EK145</f>
        <v>#DIV/0!</v>
      </c>
      <c r="EM145" s="20" t="e">
        <v>#DIV/0!</v>
      </c>
      <c r="EN145" s="20" t="e">
        <f t="shared" ca="1" si="139"/>
        <v>#DIV/0!</v>
      </c>
      <c r="EP145" s="19" t="e">
        <f t="shared" ca="1" si="134"/>
        <v>#DIV/0!</v>
      </c>
      <c r="EQ145" s="40" t="str">
        <f>IF(VLOOKUP(BK145,Fundamentus!A:U,3,FALSE)&lt;15,"Bom",IF(VLOOKUP(BK145,Fundamentus!A:U,3,FALSE)&gt;15,"Ruim","n/a"))</f>
        <v>Ruim</v>
      </c>
      <c r="ER145" s="36" t="str">
        <f>IF(VLOOKUP(BK145,Fundamentus!A:U,4,FALSE)&lt;1,"Baixo",IF(VLOOKUP(BK145,Fundamentus!A:U,4,FALSE)&lt;1.5,"Moderado",IF(VLOOKUP(BK145,Fundamentus!A:U,4,FALSE)&gt;1.5,"Alto","n/a")))</f>
        <v>Alto</v>
      </c>
      <c r="ES145" s="20" t="str">
        <f>IF(VLOOKUP(BK145,Fundamentus!A:U,8,FALSE)&lt;0,"Risco elevado",IF(VLOOKUP(BK145,Fundamentus!A:U,8,FALSE)&lt;1,"Saudável",IF(VLOOKUP(BK145,Fundamentus!A:U,8,FALSE)&lt;3,"Estável",IF(VLOOKUP(BK145,Fundamentus!A:U,8,FALSE)&gt;3,"Alerta","n/a"))))</f>
        <v>Saudável</v>
      </c>
      <c r="ET145" s="36" t="str">
        <f t="shared" si="140"/>
        <v>Ruim</v>
      </c>
      <c r="EU145" s="20" t="str">
        <f>IF(VLOOKUP(BK145,Fundamentus!A:U,12,FALSE)&lt;2,"Subvalorizada",IF(VLOOKUP(BK145,Fundamentus!A:U,12,FALSE)&lt;6,"Muita barata",IF(VLOOKUP(BK145,Fundamentus!A:U,12,FALSE)&lt;6,"Barata",IF(VLOOKUP(BK145,Fundamentus!A:U,12,FALSE)&lt;8,"Atrativa",IF(VLOOKUP(BK145,Fundamentus!A:U,12,FALSE)&gt;8,"Supervalorizada","n/a")))))</f>
        <v>Subvalorizada</v>
      </c>
      <c r="EW145" s="20" t="str">
        <f>IF(VLOOKUP(BK145,Fundamentus!A:U,17,FALSE)&lt;0.1,"Fraco retorno",IF(VLOOKUP(BK145,Fundamentus!A:U,17,FALSE)&gt;0.1,"Bom retorno","n/a"))</f>
        <v>Bom retorno</v>
      </c>
      <c r="EX145" s="20" t="str">
        <f>IF(VLOOKUP(BK145,Fundamentus!A:U,16,FALSE)&lt;0.1,"Ineficiente",IF(VLOOKUP(BK145,Fundamentus!A:U,16,FALSE)&gt;0.1,"Eficiente","n/a"))</f>
        <v>Ineficiente</v>
      </c>
      <c r="EY145" s="41" t="str">
        <f>IF(VLOOKUP(BK145,Fundamentus!A:U,16,FALSE)&lt;0.1,"Oper. Ineficiente",IF(VLOOKUP(BK145,Fundamentus!A:U,16,FALSE)&gt;0.1,"Oper.Eficiente","n/a"))</f>
        <v>Oper. Ineficiente</v>
      </c>
      <c r="EZ145" s="42">
        <f>VLOOKUP(BK145,Fundamentus!A:U,14,FALSE)</f>
        <v>0</v>
      </c>
      <c r="FA145" s="20" t="str">
        <f>IF(VLOOKUP(BK145,Fundamentus!A:U,21,FALSE)&lt;0,"Negativo",IF(VLOOKUP(BK145,Fundamentus!A:U,21,FALSE)&lt;0.05,"Fraco",IF(VLOOKUP(BK145,Fundamentus!A:U,21,FALSE)&lt;0.1,"Bom",IF(VLOOKUP(BK145,Fundamentus!A:U,21,FALSE)&gt;0.1,"Muito bom","n/a"))))</f>
        <v>Muito bom</v>
      </c>
      <c r="FC145" s="37" t="str">
        <f>IF(VLOOKUP(BK145,Fundamentus!A:U,15,FALSE)&gt;1,"Bom",IF(VLOOKUP(BK145,Fundamentus!A:U,15,FALSE)&lt;1,"Ruim","n/a"))</f>
        <v>Ruim</v>
      </c>
      <c r="FD145" s="20" t="str">
        <f>IF(VLOOKUP(BK145,Fundamentus!A:U,20,FALSE)&lt;0.5,"Baixa",IF(VLOOKUP(BK145,Fundamentus!A:U,20,FALSE)&lt;1,"Moderada",IF(VLOOKUP(BK145,Fundamentus!A:U,20,FALSE)&lt;2,"Alerta",IF(VLOOKUP(BK145,Fundamentus!A:U,20,FALSE)&gt;2,"Alta","n/a"))))</f>
        <v>Baixa</v>
      </c>
      <c r="FE145" s="10"/>
    </row>
    <row r="146" spans="1:161" s="2" customFormat="1" ht="11.25" hidden="1"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8">
        <v>21.9</v>
      </c>
      <c r="BC146" s="62">
        <v>24.14</v>
      </c>
      <c r="BD146" s="62">
        <v>24.61</v>
      </c>
      <c r="BE146" s="62">
        <v>25.99</v>
      </c>
      <c r="BF146" s="62">
        <v>24.62</v>
      </c>
      <c r="BG146" s="81">
        <v>24.36</v>
      </c>
      <c r="BH146" s="62">
        <v>25.47</v>
      </c>
      <c r="BI146" s="62">
        <v>26.18</v>
      </c>
      <c r="BJ146" s="62" cm="1">
        <f t="array" aca="1" ref="BJ146" ca="1">_FV(EH146,"Preço")</f>
        <v>26.76</v>
      </c>
      <c r="BK146" s="83" t="s">
        <v>142</v>
      </c>
      <c r="BL146" s="44" cm="1">
        <f t="array" aca="1" ref="BL146" ca="1">_FV(EH146,"Média de volume",TRUE)</f>
        <v>2502410</v>
      </c>
      <c r="BM146" s="44">
        <v>2699500</v>
      </c>
      <c r="BN146" s="44" cm="1">
        <f t="array" aca="1" ref="BN146" ca="1">_FV(EH146,"Volume")</f>
        <v>1274600</v>
      </c>
      <c r="BO146" s="32" cm="1">
        <f t="array" aca="1" ref="BO146" ca="1">_FV(EH146,"Beta")</f>
        <v>1.3909</v>
      </c>
      <c r="BP146" s="86" cm="1">
        <f t="array" aca="1" ref="BP146" ca="1">_FV(EH146,"Variação (%)",TRUE)</f>
        <v>2.2153999999999997E-2</v>
      </c>
      <c r="BQ146" s="48"/>
      <c r="BR146" s="48"/>
      <c r="BT146" s="20" cm="1">
        <f t="array" aca="1" ref="BT146" ca="1">_FV(EH146,"Baixo")</f>
        <v>25.91</v>
      </c>
      <c r="BU146" s="20" cm="1">
        <f t="array" aca="1" ref="BU146" ca="1">_FV(EH146,"Alto")</f>
        <v>27.12</v>
      </c>
      <c r="BV146" s="32"/>
      <c r="BW146" s="73">
        <f ca="1">SQRT(22.5*(BJ146/VLOOKUP(BK146,Fundamentus!A:U,3,FALSE))*(BJ146/VLOOKUP(BK146,Fundamentus!A:U,4,FALSE)))</f>
        <v>30.544371930520921</v>
      </c>
      <c r="BY146" s="72">
        <f t="shared" ca="1" si="135"/>
        <v>2.21543162719634E-2</v>
      </c>
      <c r="BZ146" s="8"/>
      <c r="CA146" s="71">
        <f t="shared" si="143"/>
        <v>17.059999999999999</v>
      </c>
      <c r="CB146" s="71">
        <f t="shared" si="136"/>
        <v>28.57</v>
      </c>
      <c r="CC146" s="71">
        <f t="shared" si="144"/>
        <v>22.748606557377045</v>
      </c>
      <c r="CD146" s="17"/>
      <c r="CE146" s="43">
        <f t="shared" si="141"/>
        <v>25.166919682354305</v>
      </c>
      <c r="CF146" s="18">
        <f>FORECAST("04/07/2025", BF146:BI146, $BF$5:$BI$5)</f>
        <v>26.605000000000018</v>
      </c>
      <c r="CG146" s="43">
        <f t="shared" si="142"/>
        <v>28.043080317645732</v>
      </c>
      <c r="CI146" s="17"/>
      <c r="CJ146" s="20">
        <f>CA146-2*(CB146-CM146)</f>
        <v>7.793333333333333</v>
      </c>
      <c r="CK146" s="20">
        <f>CM146-(CB146-CA146)</f>
        <v>12.426666666666666</v>
      </c>
      <c r="CL146" s="20">
        <f>2*CM146-CB146</f>
        <v>19.303333333333335</v>
      </c>
      <c r="CM146" s="48">
        <f>(CB146+CA146+BI146)/3</f>
        <v>23.936666666666667</v>
      </c>
      <c r="CN146" s="20">
        <f>2*CM146-CA146</f>
        <v>30.813333333333336</v>
      </c>
      <c r="CO146" s="20">
        <f>CM146+(CB146-CA146)</f>
        <v>35.446666666666673</v>
      </c>
      <c r="CP146" s="20">
        <f>CB146+2*(CM146-CA146)</f>
        <v>42.323333333333338</v>
      </c>
      <c r="CQ146" s="2" cm="1">
        <f t="array" aca="1" ref="CQ146" ca="1">MAX(_xlfn._xlws.FILTER(CJ146:CP146,CJ146:CP146&lt;BJ146))</f>
        <v>23.936666666666667</v>
      </c>
      <c r="CR146" s="2" cm="1">
        <f t="array" aca="1" ref="CR146" ca="1">MIN(_xlfn._xlws.FILTER($CJ146:$CP146,$CJ146:$CP146&gt;BJ146))</f>
        <v>30.813333333333336</v>
      </c>
      <c r="CS146" s="19">
        <f t="shared" ca="1" si="117"/>
        <v>0.28728589332961985</v>
      </c>
      <c r="CT146" s="23">
        <f t="shared" ca="1" si="118"/>
        <v>-0.14364294666480992</v>
      </c>
      <c r="CU146" s="23">
        <f t="shared" ca="1" si="119"/>
        <v>-9.5761964443206615E-2</v>
      </c>
      <c r="CV146" s="23">
        <f t="shared" ca="1" si="120"/>
        <v>-5.7457178665923966E-2</v>
      </c>
      <c r="CW146" s="23">
        <f t="shared" ca="1" si="121"/>
        <v>-3.1920654814402205E-2</v>
      </c>
      <c r="CX146" s="23">
        <f t="shared" ca="1" si="122"/>
        <v>-1.689917019585999E-2</v>
      </c>
      <c r="CY146" s="23">
        <f t="shared" ca="1" si="123"/>
        <v>-8.7056331312006015E-3</v>
      </c>
      <c r="CZ146" s="23">
        <f t="shared" ca="1" si="124"/>
        <v>-4.4197829743018438E-3</v>
      </c>
      <c r="DA146" s="24">
        <f t="shared" ca="1" si="125"/>
        <v>4.4197829743018438E-3</v>
      </c>
      <c r="DB146" s="24">
        <f t="shared" ca="1" si="126"/>
        <v>8.7056331312006015E-3</v>
      </c>
      <c r="DC146" s="24">
        <f t="shared" ca="1" si="127"/>
        <v>1.689917019585999E-2</v>
      </c>
      <c r="DD146" s="24">
        <f t="shared" ca="1" si="128"/>
        <v>3.1920654814402205E-2</v>
      </c>
      <c r="DE146" s="24">
        <f t="shared" ca="1" si="129"/>
        <v>5.7457178665923966E-2</v>
      </c>
      <c r="DF146" s="24">
        <f t="shared" ca="1" si="130"/>
        <v>9.5761964443206615E-2</v>
      </c>
      <c r="DG146" s="24">
        <f t="shared" ca="1" si="131"/>
        <v>0.14364294666480992</v>
      </c>
      <c r="DI146" s="19" cm="1">
        <f t="array" aca="1" ref="DI146" ca="1">MAX(_xlfn._xlws.FILTER(CT146:DG146,CT146:DG146&lt;BP146))</f>
        <v>1.689917019585999E-2</v>
      </c>
      <c r="DJ146" s="19" cm="1">
        <f t="array" aca="1" ref="DJ146" ca="1">MIN(_xlfn._xlws.FILTER(CT146:DG146,CT146:DG146&gt;BP146))</f>
        <v>3.1920654814402205E-2</v>
      </c>
      <c r="DK146" s="2" cm="1">
        <f t="array" aca="1" ref="DK146" ca="1">_FV(EH146,"Fechamento anterior",TRUE)</f>
        <v>26.18</v>
      </c>
      <c r="DL146" s="36">
        <f ca="1">(BJ146-DM146)/(DN146-DM146)</f>
        <v>0.34984199029279528</v>
      </c>
      <c r="DM146" s="18">
        <f t="shared" ca="1" si="132"/>
        <v>26.622420275727613</v>
      </c>
      <c r="DN146" s="18">
        <f t="shared" ca="1" si="133"/>
        <v>27.015682743041051</v>
      </c>
      <c r="DO146" s="9"/>
      <c r="DP146" s="9"/>
      <c r="DQ146" s="94">
        <v>7.211314519171971E-3</v>
      </c>
      <c r="DR146" s="94">
        <v>1.3220743285148615E-2</v>
      </c>
      <c r="DS146" s="94">
        <v>7.664960540581427E-3</v>
      </c>
      <c r="DT146" s="94">
        <f t="shared" ca="1" si="137"/>
        <v>1.5021484618542216E-2</v>
      </c>
      <c r="DU146" s="87">
        <f ca="1">(BJ146-CF146)/(CF146-CE146)</f>
        <v>0.1077825752136949</v>
      </c>
      <c r="DV146" s="46"/>
      <c r="DW146" s="43">
        <f>_xlfn.STDEV.P(BF146:BI146)</f>
        <v>0.7190401588228571</v>
      </c>
      <c r="DX146" s="76">
        <f ca="1">BO146-$DT$2</f>
        <v>0.39379999999999993</v>
      </c>
      <c r="DY146" s="76">
        <f ca="1">BO146-BP146*100</f>
        <v>-0.82449999999999979</v>
      </c>
      <c r="DZ146" s="101"/>
      <c r="EA146" s="100">
        <v>0.41829999999999989</v>
      </c>
      <c r="EB146" s="107">
        <v>2.6351999999999998</v>
      </c>
      <c r="EC146" s="107">
        <v>1.1840000000000002</v>
      </c>
      <c r="ED146" s="98">
        <f t="shared" ca="1" si="138"/>
        <v>1.2182999999999997</v>
      </c>
      <c r="EE146" s="66"/>
      <c r="EF146" s="66"/>
      <c r="EH146" s="2" t="e" vm="147">
        <v>#VALUE!</v>
      </c>
      <c r="EJ146" s="10" cm="1">
        <f t="array" aca="1" ref="EJ146" ca="1">_FV(EH146,"Ações em circulação",TRUE)</f>
        <v>236197800</v>
      </c>
      <c r="EK146" s="21">
        <f>VLOOKUP(BK146,Fundamentus!A:U,5,FALSE)</f>
        <v>2.1549999999999998</v>
      </c>
      <c r="EL146" s="2">
        <f ca="1">(BJ146*EJ146)/EK146</f>
        <v>2933017692.807425</v>
      </c>
      <c r="EM146" s="20">
        <v>787376271.95248258</v>
      </c>
      <c r="EN146" s="20">
        <f t="shared" ca="1" si="139"/>
        <v>804820054.90635741</v>
      </c>
      <c r="EP146" s="19">
        <f t="shared" ca="1" si="134"/>
        <v>2.2154316271963514E-2</v>
      </c>
      <c r="EQ146" s="40" t="str">
        <f>IF(VLOOKUP(BK146,Fundamentus!A:U,3,FALSE)&lt;15,"Bom",IF(VLOOKUP(BK146,Fundamentus!A:U,3,FALSE)&gt;15,"Ruim","n/a"))</f>
        <v>Bom</v>
      </c>
      <c r="ER146" s="36" t="str">
        <f>IF(VLOOKUP(BK146,Fundamentus!A:U,4,FALSE)&lt;1,"Baixo",IF(VLOOKUP(BK146,Fundamentus!A:U,4,FALSE)&lt;1.5,"Moderado",IF(VLOOKUP(BK146,Fundamentus!A:U,4,FALSE)&gt;1.5,"Alto","n/a")))</f>
        <v>Alto</v>
      </c>
      <c r="ES146" s="20" t="str">
        <f>IF(VLOOKUP(BK146,Fundamentus!A:U,8,FALSE)&lt;0,"Risco elevado",IF(VLOOKUP(BK146,Fundamentus!A:U,8,FALSE)&lt;1,"Saudável",IF(VLOOKUP(BK146,Fundamentus!A:U,8,FALSE)&lt;3,"Estável",IF(VLOOKUP(BK146,Fundamentus!A:U,8,FALSE)&gt;3,"Alerta","n/a"))))</f>
        <v>Alerta</v>
      </c>
      <c r="ET146" s="36" t="str">
        <f t="shared" si="140"/>
        <v>Bom</v>
      </c>
      <c r="EU146" s="20" t="str">
        <f>IF(VLOOKUP(BK146,Fundamentus!A:U,12,FALSE)&lt;2,"Subvalorizada",IF(VLOOKUP(BK146,Fundamentus!A:U,12,FALSE)&lt;6,"Muita barata",IF(VLOOKUP(BK146,Fundamentus!A:U,12,FALSE)&lt;6,"Barata",IF(VLOOKUP(BK146,Fundamentus!A:U,12,FALSE)&lt;8,"Atrativa",IF(VLOOKUP(BK146,Fundamentus!A:U,12,FALSE)&gt;8,"Supervalorizada","n/a")))))</f>
        <v>Atrativa</v>
      </c>
      <c r="EW146" s="20" t="str">
        <f>IF(VLOOKUP(BK146,Fundamentus!A:U,17,FALSE)&lt;0.1,"Fraco retorno",IF(VLOOKUP(BK146,Fundamentus!A:U,17,FALSE)&gt;0.1,"Bom retorno","n/a"))</f>
        <v>Bom retorno</v>
      </c>
      <c r="EX146" s="20" t="str">
        <f>IF(VLOOKUP(BK146,Fundamentus!A:U,16,FALSE)&lt;0.1,"Ineficiente",IF(VLOOKUP(BK146,Fundamentus!A:U,16,FALSE)&gt;0.1,"Eficiente","n/a"))</f>
        <v>Eficiente</v>
      </c>
      <c r="EY146" s="41" t="str">
        <f>IF(VLOOKUP(BK146,Fundamentus!A:U,16,FALSE)&lt;0.1,"Oper. Ineficiente",IF(VLOOKUP(BK146,Fundamentus!A:U,16,FALSE)&gt;0.1,"Oper.Eficiente","n/a"))</f>
        <v>Oper.Eficiente</v>
      </c>
      <c r="EZ146" s="42">
        <f>VLOOKUP(BK146,Fundamentus!A:U,14,FALSE)</f>
        <v>0.27439999999999998</v>
      </c>
      <c r="FA146" s="20" t="str">
        <f>IF(VLOOKUP(BK146,Fundamentus!A:U,21,FALSE)&lt;0,"Negativo",IF(VLOOKUP(BK146,Fundamentus!A:U,21,FALSE)&lt;0.05,"Fraco",IF(VLOOKUP(BK146,Fundamentus!A:U,21,FALSE)&lt;0.1,"Bom",IF(VLOOKUP(BK146,Fundamentus!A:U,21,FALSE)&gt;0.1,"Muito bom","n/a"))))</f>
        <v>Muito bom</v>
      </c>
      <c r="FC146" s="37" t="str">
        <f>IF(VLOOKUP(BK146,Fundamentus!A:U,15,FALSE)&gt;1,"Bom",IF(VLOOKUP(BK146,Fundamentus!A:U,15,FALSE)&lt;1,"Ruim","n/a"))</f>
        <v>Bom</v>
      </c>
      <c r="FD146" s="20" t="str">
        <f>IF(VLOOKUP(BK146,Fundamentus!A:U,20,FALSE)&lt;0.5,"Baixa",IF(VLOOKUP(BK146,Fundamentus!A:U,20,FALSE)&lt;1,"Moderada",IF(VLOOKUP(BK146,Fundamentus!A:U,20,FALSE)&lt;2,"Alerta",IF(VLOOKUP(BK146,Fundamentus!A:U,20,FALSE)&gt;2,"Alta","n/a"))))</f>
        <v>Baixa</v>
      </c>
      <c r="FE146" s="10"/>
    </row>
    <row r="147" spans="1:161" s="2" customFormat="1" ht="11.25" hidden="1"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8">
        <v>20.75</v>
      </c>
      <c r="BC147" s="62">
        <v>21.32</v>
      </c>
      <c r="BD147" s="62">
        <v>21.63</v>
      </c>
      <c r="BE147" s="62">
        <v>21.14</v>
      </c>
      <c r="BF147" s="62">
        <v>21.56</v>
      </c>
      <c r="BG147" s="81">
        <v>20.73</v>
      </c>
      <c r="BH147" s="62">
        <v>20.73</v>
      </c>
      <c r="BI147" s="62">
        <v>20.72</v>
      </c>
      <c r="BJ147" s="62" cm="1">
        <f t="array" aca="1" ref="BJ147" ca="1">_FV(EH147,"Preço")</f>
        <v>20.69</v>
      </c>
      <c r="BK147" s="83" t="s">
        <v>143</v>
      </c>
      <c r="BL147" s="44" cm="1">
        <f t="array" aca="1" ref="BL147" ca="1">_FV(EH147,"Média de volume",TRUE)</f>
        <v>230300</v>
      </c>
      <c r="BM147" s="44">
        <v>132700</v>
      </c>
      <c r="BN147" s="44" cm="1">
        <f t="array" aca="1" ref="BN147" ca="1">_FV(EH147,"Volume")</f>
        <v>45900</v>
      </c>
      <c r="BO147" s="32" cm="1">
        <f t="array" aca="1" ref="BO147" ca="1">_FV(EH147,"Beta")</f>
        <v>1.1689000000000001</v>
      </c>
      <c r="BP147" s="86" cm="1">
        <f t="array" aca="1" ref="BP147" ca="1">_FV(EH147,"Variação (%)",TRUE)</f>
        <v>-1.4480000000000001E-3</v>
      </c>
      <c r="BQ147" s="48"/>
      <c r="BR147" s="48"/>
      <c r="BT147" s="20" cm="1">
        <f t="array" aca="1" ref="BT147" ca="1">_FV(EH147,"Baixo")</f>
        <v>20.49</v>
      </c>
      <c r="BU147" s="20" cm="1">
        <f t="array" aca="1" ref="BU147" ca="1">_FV(EH147,"Alto")</f>
        <v>20.85</v>
      </c>
      <c r="BV147" s="32"/>
      <c r="BW147" s="73">
        <f ca="1">SQRT(22.5*(BJ147/VLOOKUP(BK147,Fundamentus!A:U,3,FALSE))*(BJ147/VLOOKUP(BK147,Fundamentus!A:U,4,FALSE)))</f>
        <v>62.957665082121594</v>
      </c>
      <c r="BY147" s="72">
        <f t="shared" ca="1" si="135"/>
        <v>-1.4478764478763314E-3</v>
      </c>
      <c r="BZ147" s="8"/>
      <c r="CA147" s="71">
        <f t="shared" si="143"/>
        <v>16.55</v>
      </c>
      <c r="CB147" s="71">
        <f t="shared" si="136"/>
        <v>24.74</v>
      </c>
      <c r="CC147" s="71">
        <f t="shared" si="144"/>
        <v>21.017868852459017</v>
      </c>
      <c r="CD147" s="17"/>
      <c r="CE147" s="43">
        <f t="shared" si="141"/>
        <v>19.583265976969191</v>
      </c>
      <c r="CF147" s="18">
        <f>FORECAST("04/07/2025", BF147:BI147, $BF$5:$BI$5)</f>
        <v>20.304999999999836</v>
      </c>
      <c r="CG147" s="43">
        <f t="shared" si="142"/>
        <v>21.026734023030482</v>
      </c>
      <c r="CI147" s="17"/>
      <c r="CJ147" s="20">
        <f>CA147-2*(CB147-CM147)</f>
        <v>8.41</v>
      </c>
      <c r="CK147" s="20">
        <f>CM147-(CB147-CA147)</f>
        <v>12.48</v>
      </c>
      <c r="CL147" s="20">
        <f>2*CM147-CB147</f>
        <v>16.599999999999998</v>
      </c>
      <c r="CM147" s="48">
        <f>(CB147+CA147+BI147)/3</f>
        <v>20.669999999999998</v>
      </c>
      <c r="CN147" s="20">
        <f>2*CM147-CA147</f>
        <v>24.789999999999996</v>
      </c>
      <c r="CO147" s="20">
        <f>CM147+(CB147-CA147)</f>
        <v>28.859999999999996</v>
      </c>
      <c r="CP147" s="20">
        <f>CB147+2*(CM147-CA147)</f>
        <v>32.97999999999999</v>
      </c>
      <c r="CQ147" s="2" cm="1">
        <f t="array" aca="1" ref="CQ147" ca="1">MAX(_xlfn._xlws.FILTER(CJ147:CP147,CJ147:CP147&lt;BJ147))</f>
        <v>20.669999999999998</v>
      </c>
      <c r="CR147" s="2" cm="1">
        <f t="array" aca="1" ref="CR147" ca="1">MIN(_xlfn._xlws.FILTER($CJ147:$CP147,$CJ147:$CP147&gt;BJ147))</f>
        <v>24.789999999999996</v>
      </c>
      <c r="CS147" s="19">
        <f t="shared" ref="CS147:CS178" ca="1" si="145">(CR147/CQ147)-1</f>
        <v>0.19932268988872748</v>
      </c>
      <c r="CT147" s="23">
        <f t="shared" ref="CT147:CT178" ca="1" si="146">-$CS147/2</f>
        <v>-9.9661344944363739E-2</v>
      </c>
      <c r="CU147" s="23">
        <f t="shared" ref="CU147:CU178" ca="1" si="147">-$CS147/3</f>
        <v>-6.6440896629575821E-2</v>
      </c>
      <c r="CV147" s="23">
        <f t="shared" ref="CV147:CV178" ca="1" si="148">-$CS147/5</f>
        <v>-3.9864537977745494E-2</v>
      </c>
      <c r="CW147" s="23">
        <f t="shared" ref="CW147:CW178" ca="1" si="149">-$CS147/9</f>
        <v>-2.214696554319194E-2</v>
      </c>
      <c r="CX147" s="23">
        <f t="shared" ref="CX147:CX178" ca="1" si="150">-$CS147/17</f>
        <v>-1.1724864111101616E-2</v>
      </c>
      <c r="CY147" s="23">
        <f t="shared" ref="CY147:CY178" ca="1" si="151">-$CS147/33</f>
        <v>-6.0400815117796205E-3</v>
      </c>
      <c r="CZ147" s="23">
        <f t="shared" ref="CZ147:CZ178" ca="1" si="152">-$CS147/65</f>
        <v>-3.0665029213650381E-3</v>
      </c>
      <c r="DA147" s="24">
        <f t="shared" ref="DA147:DA178" ca="1" si="153">-$CS147/65*-1</f>
        <v>3.0665029213650381E-3</v>
      </c>
      <c r="DB147" s="24">
        <f t="shared" ref="DB147:DB178" ca="1" si="154">-$CS147/33*-1</f>
        <v>6.0400815117796205E-3</v>
      </c>
      <c r="DC147" s="24">
        <f t="shared" ref="DC147:DC178" ca="1" si="155">-$CS147/17*-1</f>
        <v>1.1724864111101616E-2</v>
      </c>
      <c r="DD147" s="24">
        <f t="shared" ref="DD147:DD178" ca="1" si="156">-$CS147/9*-1</f>
        <v>2.214696554319194E-2</v>
      </c>
      <c r="DE147" s="24">
        <f t="shared" ref="DE147:DE178" ca="1" si="157">-$CS147/5*-1</f>
        <v>3.9864537977745494E-2</v>
      </c>
      <c r="DF147" s="24">
        <f t="shared" ref="DF147:DF178" ca="1" si="158">-$CS147/3*-1</f>
        <v>6.6440896629575821E-2</v>
      </c>
      <c r="DG147" s="24">
        <f t="shared" ref="DG147:DG178" ca="1" si="159">-$CS147/2*-1</f>
        <v>9.9661344944363739E-2</v>
      </c>
      <c r="DI147" s="19" cm="1">
        <f t="array" aca="1" ref="DI147" ca="1">MAX(_xlfn._xlws.FILTER(CT147:DG147,CT147:DG147&lt;BP147))</f>
        <v>-3.0665029213650381E-3</v>
      </c>
      <c r="DJ147" s="19" cm="1">
        <f t="array" aca="1" ref="DJ147" ca="1">MIN(_xlfn._xlws.FILTER(CT147:DG147,CT147:DG147&gt;BP147))</f>
        <v>3.0665029213650381E-3</v>
      </c>
      <c r="DK147" s="2" cm="1">
        <f t="array" aca="1" ref="DK147" ca="1">_FV(EH147,"Fechamento anterior",TRUE)</f>
        <v>20.72</v>
      </c>
      <c r="DL147" s="36">
        <f ca="1">(BJ147-DM147)/(DN147-DM147)</f>
        <v>0.26392058233686055</v>
      </c>
      <c r="DM147" s="18">
        <f t="shared" ref="DM147:DM178" ca="1" si="160">DK147+(DK147*DI147)</f>
        <v>20.656462059469316</v>
      </c>
      <c r="DN147" s="18">
        <f t="shared" ref="DN147:DN178" ca="1" si="161">DK147+(DK147*DJ147)</f>
        <v>20.783537940530682</v>
      </c>
      <c r="DO147" s="9"/>
      <c r="DP147" s="9"/>
      <c r="DQ147" s="94">
        <v>9.6832430658132258E-3</v>
      </c>
      <c r="DR147" s="94">
        <v>6.9696933382865714E-3</v>
      </c>
      <c r="DS147" s="94">
        <v>2.9755045556399957E-3</v>
      </c>
      <c r="DT147" s="94">
        <f t="shared" ca="1" si="137"/>
        <v>6.1330058427300762E-3</v>
      </c>
      <c r="DU147" s="87">
        <f ca="1">(BJ147-CF147)/(CF147-CE147)</f>
        <v>0.53343750982322413</v>
      </c>
      <c r="DV147" s="46"/>
      <c r="DW147" s="43">
        <f>_xlfn.STDEV.P(BF147:BI147)</f>
        <v>0.36086701151532213</v>
      </c>
      <c r="DX147" s="76">
        <f ca="1">BO147-$DT$2</f>
        <v>0.17179999999999995</v>
      </c>
      <c r="DY147" s="76">
        <f ca="1">BO147-BP147*100</f>
        <v>1.3137000000000001</v>
      </c>
      <c r="DZ147" s="101"/>
      <c r="EA147" s="100">
        <v>1.9324999999999999</v>
      </c>
      <c r="EB147" s="107">
        <v>-0.74390000000000001</v>
      </c>
      <c r="EC147" s="107">
        <v>0.76340000000000008</v>
      </c>
      <c r="ED147" s="98">
        <f t="shared" ca="1" si="138"/>
        <v>-1.1419000000000001</v>
      </c>
      <c r="EE147" s="66"/>
      <c r="EF147" s="66"/>
      <c r="EH147" s="2" t="e" vm="148">
        <v>#VALUE!</v>
      </c>
      <c r="EJ147" s="10" cm="1">
        <f t="array" aca="1" ref="EJ147" ca="1">_FV(EH147,"Ações em circulação",TRUE)</f>
        <v>87859150</v>
      </c>
      <c r="EK147" s="21">
        <f>VLOOKUP(BK147,Fundamentus!A:U,5,FALSE)</f>
        <v>8.2330000000000005</v>
      </c>
      <c r="EL147" s="2">
        <f ca="1">(BJ147*EJ147)/EK147</f>
        <v>220795070.26600266</v>
      </c>
      <c r="EM147" s="20">
        <v>375254636.09799582</v>
      </c>
      <c r="EN147" s="20">
        <f t="shared" ca="1" si="139"/>
        <v>374711313.74843311</v>
      </c>
      <c r="EP147" s="19">
        <f t="shared" ca="1" si="134"/>
        <v>-1.4478764478763617E-3</v>
      </c>
      <c r="EQ147" s="40" t="str">
        <f>IF(VLOOKUP(BK147,Fundamentus!A:U,3,FALSE)&lt;15,"Bom",IF(VLOOKUP(BK147,Fundamentus!A:U,3,FALSE)&gt;15,"Ruim","n/a"))</f>
        <v>Bom</v>
      </c>
      <c r="ER147" s="36" t="str">
        <f>IF(VLOOKUP(BK147,Fundamentus!A:U,4,FALSE)&lt;1,"Baixo",IF(VLOOKUP(BK147,Fundamentus!A:U,4,FALSE)&lt;1.5,"Moderado",IF(VLOOKUP(BK147,Fundamentus!A:U,4,FALSE)&gt;1.5,"Alto","n/a")))</f>
        <v>Baixo</v>
      </c>
      <c r="ES147" s="20" t="str">
        <f>IF(VLOOKUP(BK147,Fundamentus!A:U,8,FALSE)&lt;0,"Risco elevado",IF(VLOOKUP(BK147,Fundamentus!A:U,8,FALSE)&lt;1,"Saudável",IF(VLOOKUP(BK147,Fundamentus!A:U,8,FALSE)&lt;3,"Estável",IF(VLOOKUP(BK147,Fundamentus!A:U,8,FALSE)&gt;3,"Alerta","n/a"))))</f>
        <v>Alerta</v>
      </c>
      <c r="ET147" s="36" t="str">
        <f t="shared" si="140"/>
        <v>Bom</v>
      </c>
      <c r="EU147" s="20" t="str">
        <f>IF(VLOOKUP(BK147,Fundamentus!A:U,12,FALSE)&lt;2,"Subvalorizada",IF(VLOOKUP(BK147,Fundamentus!A:U,12,FALSE)&lt;6,"Muita barata",IF(VLOOKUP(BK147,Fundamentus!A:U,12,FALSE)&lt;6,"Barata",IF(VLOOKUP(BK147,Fundamentus!A:U,12,FALSE)&lt;8,"Atrativa",IF(VLOOKUP(BK147,Fundamentus!A:U,12,FALSE)&gt;8,"Supervalorizada","n/a")))))</f>
        <v>Supervalorizada</v>
      </c>
      <c r="EW147" s="20" t="str">
        <f>IF(VLOOKUP(BK147,Fundamentus!A:U,17,FALSE)&lt;0.1,"Fraco retorno",IF(VLOOKUP(BK147,Fundamentus!A:U,17,FALSE)&gt;0.1,"Bom retorno","n/a"))</f>
        <v>Bom retorno</v>
      </c>
      <c r="EX147" s="20" t="str">
        <f>IF(VLOOKUP(BK147,Fundamentus!A:U,16,FALSE)&lt;0.1,"Ineficiente",IF(VLOOKUP(BK147,Fundamentus!A:U,16,FALSE)&gt;0.1,"Eficiente","n/a"))</f>
        <v>Ineficiente</v>
      </c>
      <c r="EY147" s="41" t="str">
        <f>IF(VLOOKUP(BK147,Fundamentus!A:U,16,FALSE)&lt;0.1,"Oper. Ineficiente",IF(VLOOKUP(BK147,Fundamentus!A:U,16,FALSE)&gt;0.1,"Oper.Eficiente","n/a"))</f>
        <v>Oper. Ineficiente</v>
      </c>
      <c r="EZ147" s="42">
        <f>VLOOKUP(BK147,Fundamentus!A:U,14,FALSE)</f>
        <v>1.6971000000000001</v>
      </c>
      <c r="FA147" s="20" t="str">
        <f>IF(VLOOKUP(BK147,Fundamentus!A:U,21,FALSE)&lt;0,"Negativo",IF(VLOOKUP(BK147,Fundamentus!A:U,21,FALSE)&lt;0.05,"Fraco",IF(VLOOKUP(BK147,Fundamentus!A:U,21,FALSE)&lt;0.1,"Bom",IF(VLOOKUP(BK147,Fundamentus!A:U,21,FALSE)&gt;0.1,"Muito bom","n/a"))))</f>
        <v>Muito bom</v>
      </c>
      <c r="FC147" s="37" t="str">
        <f>IF(VLOOKUP(BK147,Fundamentus!A:U,15,FALSE)&gt;1,"Bom",IF(VLOOKUP(BK147,Fundamentus!A:U,15,FALSE)&lt;1,"Ruim","n/a"))</f>
        <v>Bom</v>
      </c>
      <c r="FD147" s="20" t="str">
        <f>IF(VLOOKUP(BK147,Fundamentus!A:U,20,FALSE)&lt;0.5,"Baixa",IF(VLOOKUP(BK147,Fundamentus!A:U,20,FALSE)&lt;1,"Moderada",IF(VLOOKUP(BK147,Fundamentus!A:U,20,FALSE)&lt;2,"Alerta",IF(VLOOKUP(BK147,Fundamentus!A:U,20,FALSE)&gt;2,"Alta","n/a"))))</f>
        <v>Moderada</v>
      </c>
      <c r="FE147" s="10"/>
    </row>
    <row r="148" spans="1:161" s="2" customFormat="1" ht="11.25" hidden="1"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8">
        <v>2.0699999999999998</v>
      </c>
      <c r="BC148" s="62">
        <v>2.2400000000000002</v>
      </c>
      <c r="BD148" s="62">
        <v>2.19</v>
      </c>
      <c r="BE148" s="62">
        <v>2.13</v>
      </c>
      <c r="BF148" s="62">
        <v>2.1</v>
      </c>
      <c r="BG148" s="81">
        <v>1.91</v>
      </c>
      <c r="BH148" s="62">
        <v>1.77</v>
      </c>
      <c r="BI148" s="62">
        <v>1.83</v>
      </c>
      <c r="BJ148" s="62" cm="1">
        <f t="array" aca="1" ref="BJ148" ca="1">_FV(EH148,"Preço")</f>
        <v>1.86</v>
      </c>
      <c r="BK148" s="83" t="s">
        <v>144</v>
      </c>
      <c r="BL148" s="44" cm="1">
        <f t="array" aca="1" ref="BL148" ca="1">_FV(EH148,"Média de volume",TRUE)</f>
        <v>2182520</v>
      </c>
      <c r="BM148" s="44">
        <v>973100</v>
      </c>
      <c r="BN148" s="44" cm="1">
        <f t="array" aca="1" ref="BN148" ca="1">_FV(EH148,"Volume")</f>
        <v>822500</v>
      </c>
      <c r="BO148" s="32" cm="1">
        <f t="array" aca="1" ref="BO148" ca="1">_FV(EH148,"Beta")</f>
        <v>1.3728</v>
      </c>
      <c r="BP148" s="86" cm="1">
        <f t="array" aca="1" ref="BP148" ca="1">_FV(EH148,"Variação (%)",TRUE)</f>
        <v>2.1978000000000001E-2</v>
      </c>
      <c r="BQ148" s="48"/>
      <c r="BR148" s="48"/>
      <c r="BT148" s="20" cm="1">
        <f t="array" aca="1" ref="BT148" ca="1">_FV(EH148,"Baixo")</f>
        <v>1.82</v>
      </c>
      <c r="BU148" s="20" cm="1">
        <f t="array" aca="1" ref="BU148" ca="1">_FV(EH148,"Alto")</f>
        <v>1.91</v>
      </c>
      <c r="BV148" s="32"/>
      <c r="BW148" s="73">
        <f ca="1">SQRT(22.5*(BJ148/VLOOKUP(BK148,Fundamentus!A:U,3,FALSE))*(BJ148/VLOOKUP(BK148,Fundamentus!A:U,4,FALSE)))</f>
        <v>1.134444445054388</v>
      </c>
      <c r="BY148" s="72">
        <f t="shared" ca="1" si="135"/>
        <v>1.6393442622950834E-2</v>
      </c>
      <c r="BZ148" s="8"/>
      <c r="CA148" s="71">
        <f t="shared" si="143"/>
        <v>1.39</v>
      </c>
      <c r="CB148" s="71">
        <f t="shared" si="136"/>
        <v>2.31</v>
      </c>
      <c r="CC148" s="71">
        <f t="shared" si="144"/>
        <v>1.8963114754098358</v>
      </c>
      <c r="CD148" s="17"/>
      <c r="CE148" s="43">
        <f t="shared" si="141"/>
        <v>1.4162531407233085</v>
      </c>
      <c r="CF148" s="18">
        <f>FORECAST("04/07/2025", BF148:BI148, $BF$5:$BI$5)</f>
        <v>1.6649999999999636</v>
      </c>
      <c r="CG148" s="43">
        <f t="shared" si="142"/>
        <v>1.9137468592766187</v>
      </c>
      <c r="CI148" s="17"/>
      <c r="CJ148" s="20">
        <f>CA148-2*(CB148-CM148)</f>
        <v>0.45666666666666678</v>
      </c>
      <c r="CK148" s="20">
        <f>CM148-(CB148-CA148)</f>
        <v>0.92333333333333334</v>
      </c>
      <c r="CL148" s="20">
        <f>2*CM148-CB148</f>
        <v>1.3766666666666669</v>
      </c>
      <c r="CM148" s="48">
        <f>(CB148+CA148+BI148)/3</f>
        <v>1.8433333333333335</v>
      </c>
      <c r="CN148" s="20">
        <f>2*CM148-CA148</f>
        <v>2.2966666666666669</v>
      </c>
      <c r="CO148" s="20">
        <f>CM148+(CB148-CA148)</f>
        <v>2.7633333333333336</v>
      </c>
      <c r="CP148" s="20">
        <f>CB148+2*(CM148-CA148)</f>
        <v>3.2166666666666672</v>
      </c>
      <c r="CQ148" s="2" cm="1">
        <f t="array" aca="1" ref="CQ148" ca="1">MAX(_xlfn._xlws.FILTER(CJ148:CP148,CJ148:CP148&lt;BJ148))</f>
        <v>1.8433333333333335</v>
      </c>
      <c r="CR148" s="2" cm="1">
        <f t="array" aca="1" ref="CR148" ca="1">MIN(_xlfn._xlws.FILTER($CJ148:$CP148,$CJ148:$CP148&gt;BJ148))</f>
        <v>2.2966666666666669</v>
      </c>
      <c r="CS148" s="19">
        <f t="shared" ca="1" si="145"/>
        <v>0.24593128390596752</v>
      </c>
      <c r="CT148" s="23">
        <f t="shared" ca="1" si="146"/>
        <v>-0.12296564195298376</v>
      </c>
      <c r="CU148" s="23">
        <f t="shared" ca="1" si="147"/>
        <v>-8.1977094635322503E-2</v>
      </c>
      <c r="CV148" s="23">
        <f t="shared" ca="1" si="148"/>
        <v>-4.9186256781193503E-2</v>
      </c>
      <c r="CW148" s="23">
        <f t="shared" ca="1" si="149"/>
        <v>-2.732569821177417E-2</v>
      </c>
      <c r="CX148" s="23">
        <f t="shared" ca="1" si="150"/>
        <v>-1.4466546112115737E-2</v>
      </c>
      <c r="CY148" s="23">
        <f t="shared" ca="1" si="151"/>
        <v>-7.4524631486656825E-3</v>
      </c>
      <c r="CZ148" s="23">
        <f t="shared" ca="1" si="152"/>
        <v>-3.7835582139379618E-3</v>
      </c>
      <c r="DA148" s="24">
        <f t="shared" ca="1" si="153"/>
        <v>3.7835582139379618E-3</v>
      </c>
      <c r="DB148" s="24">
        <f t="shared" ca="1" si="154"/>
        <v>7.4524631486656825E-3</v>
      </c>
      <c r="DC148" s="24">
        <f t="shared" ca="1" si="155"/>
        <v>1.4466546112115737E-2</v>
      </c>
      <c r="DD148" s="24">
        <f t="shared" ca="1" si="156"/>
        <v>2.732569821177417E-2</v>
      </c>
      <c r="DE148" s="24">
        <f t="shared" ca="1" si="157"/>
        <v>4.9186256781193503E-2</v>
      </c>
      <c r="DF148" s="24">
        <f t="shared" ca="1" si="158"/>
        <v>8.1977094635322503E-2</v>
      </c>
      <c r="DG148" s="24">
        <f t="shared" ca="1" si="159"/>
        <v>0.12296564195298376</v>
      </c>
      <c r="DI148" s="19" cm="1">
        <f t="array" aca="1" ref="DI148" ca="1">MAX(_xlfn._xlws.FILTER(CT148:DG148,CT148:DG148&lt;BP148))</f>
        <v>1.4466546112115737E-2</v>
      </c>
      <c r="DJ148" s="19" cm="1">
        <f t="array" aca="1" ref="DJ148" ca="1">MIN(_xlfn._xlws.FILTER(CT148:DG148,CT148:DG148&gt;BP148))</f>
        <v>2.732569821177417E-2</v>
      </c>
      <c r="DK148" s="2" cm="1">
        <f t="array" aca="1" ref="DK148" ca="1">_FV(EH148,"Fechamento anterior",TRUE)</f>
        <v>1.82</v>
      </c>
      <c r="DL148" s="36">
        <f ca="1">(BJ148-DM148)/(DN148-DM148)</f>
        <v>0.58413461538461731</v>
      </c>
      <c r="DM148" s="18">
        <f t="shared" ca="1" si="160"/>
        <v>1.8463291139240507</v>
      </c>
      <c r="DN148" s="18">
        <f t="shared" ca="1" si="161"/>
        <v>1.869732770745429</v>
      </c>
      <c r="DO148" s="9"/>
      <c r="DP148" s="9"/>
      <c r="DQ148" s="94">
        <v>1.1909949164851117E-2</v>
      </c>
      <c r="DR148" s="94">
        <v>1.1909949164851117E-2</v>
      </c>
      <c r="DS148" s="94">
        <v>2.2816399286987536E-2</v>
      </c>
      <c r="DT148" s="94">
        <f t="shared" ca="1" si="137"/>
        <v>1.2859152099658433E-2</v>
      </c>
      <c r="DU148" s="87">
        <f ca="1">(BJ148-CF148)/(CF148-CE148)</f>
        <v>0.78392949590233174</v>
      </c>
      <c r="DV148" s="46"/>
      <c r="DW148" s="43">
        <f>_xlfn.STDEV.P(BF148:BI148)</f>
        <v>0.12437342963832751</v>
      </c>
      <c r="DX148" s="76">
        <f ca="1">BO148-$DT$2</f>
        <v>0.37569999999999992</v>
      </c>
      <c r="DY148" s="76">
        <f ca="1">BO148-BP148*100</f>
        <v>-0.82499999999999996</v>
      </c>
      <c r="DZ148" s="101"/>
      <c r="EA148" s="100">
        <v>-2.8100999999999998</v>
      </c>
      <c r="EB148" s="107">
        <v>-4.1056999999999997</v>
      </c>
      <c r="EC148" s="107">
        <v>-3.5033000000000003</v>
      </c>
      <c r="ED148" s="98">
        <f t="shared" ca="1" si="138"/>
        <v>1.2006999999999999</v>
      </c>
      <c r="EE148" s="66"/>
      <c r="EF148" s="66"/>
      <c r="EH148" s="2" t="e" vm="149">
        <v>#VALUE!</v>
      </c>
      <c r="EJ148" s="10" cm="1">
        <f t="array" aca="1" ref="EJ148" ca="1">_FV(EH148,"Ações em circulação",TRUE)</f>
        <v>284014300</v>
      </c>
      <c r="EK148" s="21">
        <f>VLOOKUP(BK148,Fundamentus!A:U,5,FALSE)</f>
        <v>0.35</v>
      </c>
      <c r="EL148" s="2">
        <f ca="1">(BJ148*EJ148)/EK148</f>
        <v>1509333137.1428573</v>
      </c>
      <c r="EM148" s="20">
        <v>11879912.434285715</v>
      </c>
      <c r="EN148" s="20">
        <f t="shared" ca="1" si="139"/>
        <v>12074665.097142858</v>
      </c>
      <c r="EP148" s="19">
        <f t="shared" ca="1" si="134"/>
        <v>1.6393442622950838E-2</v>
      </c>
      <c r="EQ148" s="40" t="str">
        <f>IF(VLOOKUP(BK148,Fundamentus!A:U,3,FALSE)&lt;15,"Bom",IF(VLOOKUP(BK148,Fundamentus!A:U,3,FALSE)&gt;15,"Ruim","n/a"))</f>
        <v>Ruim</v>
      </c>
      <c r="ER148" s="36" t="str">
        <f>IF(VLOOKUP(BK148,Fundamentus!A:U,4,FALSE)&lt;1,"Baixo",IF(VLOOKUP(BK148,Fundamentus!A:U,4,FALSE)&lt;1.5,"Moderado",IF(VLOOKUP(BK148,Fundamentus!A:U,4,FALSE)&gt;1.5,"Alto","n/a")))</f>
        <v>Baixo</v>
      </c>
      <c r="ES148" s="20" t="str">
        <f>IF(VLOOKUP(BK148,Fundamentus!A:U,8,FALSE)&lt;0,"Risco elevado",IF(VLOOKUP(BK148,Fundamentus!A:U,8,FALSE)&lt;1,"Saudável",IF(VLOOKUP(BK148,Fundamentus!A:U,8,FALSE)&lt;3,"Estável",IF(VLOOKUP(BK148,Fundamentus!A:U,8,FALSE)&gt;3,"Alerta","n/a"))))</f>
        <v>Alerta</v>
      </c>
      <c r="ET148" s="36" t="str">
        <f t="shared" si="140"/>
        <v>Ruim</v>
      </c>
      <c r="EU148" s="20" t="str">
        <f>IF(VLOOKUP(BK148,Fundamentus!A:U,12,FALSE)&lt;2,"Subvalorizada",IF(VLOOKUP(BK148,Fundamentus!A:U,12,FALSE)&lt;6,"Muita barata",IF(VLOOKUP(BK148,Fundamentus!A:U,12,FALSE)&lt;6,"Barata",IF(VLOOKUP(BK148,Fundamentus!A:U,12,FALSE)&lt;8,"Atrativa",IF(VLOOKUP(BK148,Fundamentus!A:U,12,FALSE)&gt;8,"Supervalorizada","n/a")))))</f>
        <v>Subvalorizada</v>
      </c>
      <c r="EW148" s="20" t="str">
        <f>IF(VLOOKUP(BK148,Fundamentus!A:U,17,FALSE)&lt;0.1,"Fraco retorno",IF(VLOOKUP(BK148,Fundamentus!A:U,17,FALSE)&gt;0.1,"Bom retorno","n/a"))</f>
        <v>Fraco retorno</v>
      </c>
      <c r="EX148" s="20" t="str">
        <f>IF(VLOOKUP(BK148,Fundamentus!A:U,16,FALSE)&lt;0.1,"Ineficiente",IF(VLOOKUP(BK148,Fundamentus!A:U,16,FALSE)&gt;0.1,"Eficiente","n/a"))</f>
        <v>Eficiente</v>
      </c>
      <c r="EY148" s="41" t="str">
        <f>IF(VLOOKUP(BK148,Fundamentus!A:U,16,FALSE)&lt;0.1,"Oper. Ineficiente",IF(VLOOKUP(BK148,Fundamentus!A:U,16,FALSE)&gt;0.1,"Oper.Eficiente","n/a"))</f>
        <v>Oper.Eficiente</v>
      </c>
      <c r="EZ148" s="42">
        <f>VLOOKUP(BK148,Fundamentus!A:U,14,FALSE)</f>
        <v>8.0000000000000002E-3</v>
      </c>
      <c r="FA148" s="20" t="str">
        <f>IF(VLOOKUP(BK148,Fundamentus!A:U,21,FALSE)&lt;0,"Negativo",IF(VLOOKUP(BK148,Fundamentus!A:U,21,FALSE)&lt;0.05,"Fraco",IF(VLOOKUP(BK148,Fundamentus!A:U,21,FALSE)&lt;0.1,"Bom",IF(VLOOKUP(BK148,Fundamentus!A:U,21,FALSE)&gt;0.1,"Muito bom","n/a"))))</f>
        <v>Negativo</v>
      </c>
      <c r="FC148" s="37" t="str">
        <f>IF(VLOOKUP(BK148,Fundamentus!A:U,15,FALSE)&gt;1,"Bom",IF(VLOOKUP(BK148,Fundamentus!A:U,15,FALSE)&lt;1,"Ruim","n/a"))</f>
        <v>Bom</v>
      </c>
      <c r="FD148" s="20" t="str">
        <f>IF(VLOOKUP(BK148,Fundamentus!A:U,20,FALSE)&lt;0.5,"Baixa",IF(VLOOKUP(BK148,Fundamentus!A:U,20,FALSE)&lt;1,"Moderada",IF(VLOOKUP(BK148,Fundamentus!A:U,20,FALSE)&lt;2,"Alerta",IF(VLOOKUP(BK148,Fundamentus!A:U,20,FALSE)&gt;2,"Alta","n/a"))))</f>
        <v>Alerta</v>
      </c>
      <c r="FE148" s="10"/>
    </row>
    <row r="149" spans="1:161" s="2" customFormat="1" ht="11.25" hidden="1"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8">
        <v>9.1999999999999993</v>
      </c>
      <c r="BC149" s="62">
        <v>9</v>
      </c>
      <c r="BD149" s="62">
        <v>8.74</v>
      </c>
      <c r="BE149" s="62">
        <v>8.6999999999999993</v>
      </c>
      <c r="BF149" s="62">
        <v>8.4</v>
      </c>
      <c r="BG149" s="81">
        <v>8.18</v>
      </c>
      <c r="BH149" s="62">
        <v>8.9600000000000009</v>
      </c>
      <c r="BI149" s="62">
        <v>9.52</v>
      </c>
      <c r="BJ149" s="62" cm="1">
        <f t="array" aca="1" ref="BJ149" ca="1">_FV(EH149,"Preço")</f>
        <v>9.61</v>
      </c>
      <c r="BK149" s="83" t="s">
        <v>145</v>
      </c>
      <c r="BL149" s="44" cm="1">
        <f t="array" aca="1" ref="BL149" ca="1">_FV(EH149,"Média de volume",TRUE)</f>
        <v>476110</v>
      </c>
      <c r="BM149" s="44">
        <v>311800</v>
      </c>
      <c r="BN149" s="44" cm="1">
        <f t="array" aca="1" ref="BN149" ca="1">_FV(EH149,"Volume")</f>
        <v>83800</v>
      </c>
      <c r="BO149" s="32" cm="1">
        <f t="array" aca="1" ref="BO149" ca="1">_FV(EH149,"Beta")</f>
        <v>1.1053999999999999</v>
      </c>
      <c r="BP149" s="86" cm="1">
        <f t="array" aca="1" ref="BP149" ca="1">_FV(EH149,"Variação (%)",TRUE)</f>
        <v>9.4540000000000006E-3</v>
      </c>
      <c r="BQ149" s="48"/>
      <c r="BR149" s="48"/>
      <c r="BT149" s="20" cm="1">
        <f t="array" aca="1" ref="BT149" ca="1">_FV(EH149,"Baixo")</f>
        <v>9.4499999999999993</v>
      </c>
      <c r="BU149" s="20" cm="1">
        <f t="array" aca="1" ref="BU149" ca="1">_FV(EH149,"Alto")</f>
        <v>9.6300000000000008</v>
      </c>
      <c r="BV149" s="32"/>
      <c r="BW149" s="73">
        <f ca="1">SQRT(22.5*(BJ149/VLOOKUP(BK149,Fundamentus!A:U,3,FALSE))*(BJ149/VLOOKUP(BK149,Fundamentus!A:U,4,FALSE)))</f>
        <v>12.891260192919423</v>
      </c>
      <c r="BY149" s="72">
        <f t="shared" ca="1" si="135"/>
        <v>9.4537815126050275E-3</v>
      </c>
      <c r="BZ149" s="8"/>
      <c r="CA149" s="71">
        <f t="shared" si="143"/>
        <v>8.08</v>
      </c>
      <c r="CB149" s="71">
        <f t="shared" si="136"/>
        <v>11.51</v>
      </c>
      <c r="CC149" s="71">
        <f t="shared" si="144"/>
        <v>9.4537704918032777</v>
      </c>
      <c r="CD149" s="17"/>
      <c r="CE149" s="43">
        <f t="shared" si="141"/>
        <v>8.7590869392689097</v>
      </c>
      <c r="CF149" s="18">
        <f>FORECAST("04/07/2025", BF149:BI149, $BF$5:$BI$5)</f>
        <v>9.7999999999997272</v>
      </c>
      <c r="CG149" s="43">
        <f t="shared" si="142"/>
        <v>10.840913060730545</v>
      </c>
      <c r="CI149" s="17"/>
      <c r="CJ149" s="20">
        <f>CA149-2*(CB149-CM149)</f>
        <v>4.4666666666666668</v>
      </c>
      <c r="CK149" s="20">
        <f>CM149-(CB149-CA149)</f>
        <v>6.2733333333333334</v>
      </c>
      <c r="CL149" s="20">
        <f>2*CM149-CB149</f>
        <v>7.8966666666666665</v>
      </c>
      <c r="CM149" s="48">
        <f>(CB149+CA149+BI149)/3</f>
        <v>9.7033333333333331</v>
      </c>
      <c r="CN149" s="20">
        <f>2*CM149-CA149</f>
        <v>11.326666666666666</v>
      </c>
      <c r="CO149" s="20">
        <f>CM149+(CB149-CA149)</f>
        <v>13.133333333333333</v>
      </c>
      <c r="CP149" s="20">
        <f>CB149+2*(CM149-CA149)</f>
        <v>14.756666666666666</v>
      </c>
      <c r="CQ149" s="2" cm="1">
        <f t="array" aca="1" ref="CQ149" ca="1">MAX(_xlfn._xlws.FILTER(CJ149:CP149,CJ149:CP149&lt;BJ149))</f>
        <v>7.8966666666666665</v>
      </c>
      <c r="CR149" s="2" cm="1">
        <f t="array" aca="1" ref="CR149" ca="1">MIN(_xlfn._xlws.FILTER($CJ149:$CP149,$CJ149:$CP149&gt;BJ149))</f>
        <v>9.7033333333333331</v>
      </c>
      <c r="CS149" s="19">
        <f t="shared" ca="1" si="145"/>
        <v>0.22878851836217806</v>
      </c>
      <c r="CT149" s="23">
        <f t="shared" ca="1" si="146"/>
        <v>-0.11439425918108903</v>
      </c>
      <c r="CU149" s="23">
        <f t="shared" ca="1" si="147"/>
        <v>-7.6262839454059358E-2</v>
      </c>
      <c r="CV149" s="23">
        <f t="shared" ca="1" si="148"/>
        <v>-4.5757703672435611E-2</v>
      </c>
      <c r="CW149" s="23">
        <f t="shared" ca="1" si="149"/>
        <v>-2.5420946484686451E-2</v>
      </c>
      <c r="CX149" s="23">
        <f t="shared" ca="1" si="150"/>
        <v>-1.345814813895165E-2</v>
      </c>
      <c r="CY149" s="23">
        <f t="shared" ca="1" si="151"/>
        <v>-6.9329854049144865E-3</v>
      </c>
      <c r="CZ149" s="23">
        <f t="shared" ca="1" si="152"/>
        <v>-3.5198233594181242E-3</v>
      </c>
      <c r="DA149" s="24">
        <f t="shared" ca="1" si="153"/>
        <v>3.5198233594181242E-3</v>
      </c>
      <c r="DB149" s="24">
        <f t="shared" ca="1" si="154"/>
        <v>6.9329854049144865E-3</v>
      </c>
      <c r="DC149" s="24">
        <f t="shared" ca="1" si="155"/>
        <v>1.345814813895165E-2</v>
      </c>
      <c r="DD149" s="24">
        <f t="shared" ca="1" si="156"/>
        <v>2.5420946484686451E-2</v>
      </c>
      <c r="DE149" s="24">
        <f t="shared" ca="1" si="157"/>
        <v>4.5757703672435611E-2</v>
      </c>
      <c r="DF149" s="24">
        <f t="shared" ca="1" si="158"/>
        <v>7.6262839454059358E-2</v>
      </c>
      <c r="DG149" s="24">
        <f t="shared" ca="1" si="159"/>
        <v>0.11439425918108903</v>
      </c>
      <c r="DI149" s="19" cm="1">
        <f t="array" aca="1" ref="DI149" ca="1">MAX(_xlfn._xlws.FILTER(CT149:DG149,CT149:DG149&lt;BP149))</f>
        <v>6.9329854049144865E-3</v>
      </c>
      <c r="DJ149" s="19" cm="1">
        <f t="array" aca="1" ref="DJ149" ca="1">MIN(_xlfn._xlws.FILTER(CT149:DG149,CT149:DG149&gt;BP149))</f>
        <v>1.345814813895165E-2</v>
      </c>
      <c r="DK149" s="2" cm="1">
        <f t="array" aca="1" ref="DK149" ca="1">_FV(EH149,"Fechamento anterior",TRUE)</f>
        <v>9.52</v>
      </c>
      <c r="DL149" s="36">
        <f ca="1">(BJ149-DM149)/(DN149-DM149)</f>
        <v>0.38631927055877519</v>
      </c>
      <c r="DM149" s="18">
        <f t="shared" ca="1" si="160"/>
        <v>9.5860020210547852</v>
      </c>
      <c r="DN149" s="18">
        <f t="shared" ca="1" si="161"/>
        <v>9.6481215702828198</v>
      </c>
      <c r="DO149" s="9"/>
      <c r="DP149" s="9"/>
      <c r="DQ149" s="94">
        <v>1.0143052526522013E-2</v>
      </c>
      <c r="DR149" s="94">
        <v>4.9178436492227952E-3</v>
      </c>
      <c r="DS149" s="94">
        <v>9.1765147060944591E-3</v>
      </c>
      <c r="DT149" s="94">
        <f t="shared" ca="1" si="137"/>
        <v>6.5251627340371637E-3</v>
      </c>
      <c r="DU149" s="87">
        <f ca="1">(BJ149-CF149)/(CF149-CE149)</f>
        <v>-0.18253205495022812</v>
      </c>
      <c r="DV149" s="46"/>
      <c r="DW149" s="43">
        <f>_xlfn.STDEV.P(BF149:BI149)</f>
        <v>0.52045653036540906</v>
      </c>
      <c r="DX149" s="76">
        <f ca="1">BO149-$DT$2</f>
        <v>0.10829999999999984</v>
      </c>
      <c r="DY149" s="76">
        <f ca="1">BO149-BP149*100</f>
        <v>0.15999999999999992</v>
      </c>
      <c r="DZ149" s="101"/>
      <c r="EA149" s="100">
        <v>0.41889999999999994</v>
      </c>
      <c r="EB149" s="107">
        <v>8.8048999999999999</v>
      </c>
      <c r="EC149" s="107">
        <v>0.49700000000000011</v>
      </c>
      <c r="ED149" s="98">
        <f t="shared" ca="1" si="138"/>
        <v>-5.1700000000000079E-2</v>
      </c>
      <c r="EE149" s="66"/>
      <c r="EF149" s="66"/>
      <c r="EH149" s="2" t="e" vm="150">
        <v>#VALUE!</v>
      </c>
      <c r="EJ149" s="10" cm="1">
        <f t="array" aca="1" ref="EJ149" ca="1">_FV(EH149,"Ações em circulação",TRUE)</f>
        <v>150377500</v>
      </c>
      <c r="EK149" s="21">
        <f>VLOOKUP(BK149,Fundamentus!A:U,5,FALSE)</f>
        <v>0.247</v>
      </c>
      <c r="EL149" s="2">
        <f ca="1">(BJ149*EJ149)/EK149</f>
        <v>5850719736.8421049</v>
      </c>
      <c r="EM149" s="20">
        <v>113600155.78947368</v>
      </c>
      <c r="EN149" s="20">
        <f t="shared" ca="1" si="139"/>
        <v>114674106.84210525</v>
      </c>
      <c r="EP149" s="19">
        <f t="shared" ca="1" si="134"/>
        <v>9.4537815126050084E-3</v>
      </c>
      <c r="EQ149" s="40" t="str">
        <f>IF(VLOOKUP(BK149,Fundamentus!A:U,3,FALSE)&lt;15,"Bom",IF(VLOOKUP(BK149,Fundamentus!A:U,3,FALSE)&gt;15,"Ruim","n/a"))</f>
        <v>Bom</v>
      </c>
      <c r="ER149" s="36" t="str">
        <f>IF(VLOOKUP(BK149,Fundamentus!A:U,4,FALSE)&lt;1,"Baixo",IF(VLOOKUP(BK149,Fundamentus!A:U,4,FALSE)&lt;1.5,"Moderado",IF(VLOOKUP(BK149,Fundamentus!A:U,4,FALSE)&gt;1.5,"Alto","n/a")))</f>
        <v>Baixo</v>
      </c>
      <c r="ES149" s="20" t="str">
        <f>IF(VLOOKUP(BK149,Fundamentus!A:U,8,FALSE)&lt;0,"Risco elevado",IF(VLOOKUP(BK149,Fundamentus!A:U,8,FALSE)&lt;1,"Saudável",IF(VLOOKUP(BK149,Fundamentus!A:U,8,FALSE)&lt;3,"Estável",IF(VLOOKUP(BK149,Fundamentus!A:U,8,FALSE)&gt;3,"Alerta","n/a"))))</f>
        <v>Estável</v>
      </c>
      <c r="ET149" s="36" t="str">
        <f t="shared" si="140"/>
        <v>Ruim</v>
      </c>
      <c r="EU149" s="20" t="str">
        <f>IF(VLOOKUP(BK149,Fundamentus!A:U,12,FALSE)&lt;2,"Subvalorizada",IF(VLOOKUP(BK149,Fundamentus!A:U,12,FALSE)&lt;6,"Muita barata",IF(VLOOKUP(BK149,Fundamentus!A:U,12,FALSE)&lt;6,"Barata",IF(VLOOKUP(BK149,Fundamentus!A:U,12,FALSE)&lt;8,"Atrativa",IF(VLOOKUP(BK149,Fundamentus!A:U,12,FALSE)&gt;8,"Supervalorizada","n/a")))))</f>
        <v>Muita barata</v>
      </c>
      <c r="EW149" s="20" t="str">
        <f>IF(VLOOKUP(BK149,Fundamentus!A:U,17,FALSE)&lt;0.1,"Fraco retorno",IF(VLOOKUP(BK149,Fundamentus!A:U,17,FALSE)&gt;0.1,"Bom retorno","n/a"))</f>
        <v>Fraco retorno</v>
      </c>
      <c r="EX149" s="20" t="str">
        <f>IF(VLOOKUP(BK149,Fundamentus!A:U,16,FALSE)&lt;0.1,"Ineficiente",IF(VLOOKUP(BK149,Fundamentus!A:U,16,FALSE)&gt;0.1,"Eficiente","n/a"))</f>
        <v>Ineficiente</v>
      </c>
      <c r="EY149" s="41" t="str">
        <f>IF(VLOOKUP(BK149,Fundamentus!A:U,16,FALSE)&lt;0.1,"Oper. Ineficiente",IF(VLOOKUP(BK149,Fundamentus!A:U,16,FALSE)&gt;0.1,"Oper.Eficiente","n/a"))</f>
        <v>Oper. Ineficiente</v>
      </c>
      <c r="EZ149" s="42">
        <f>VLOOKUP(BK149,Fundamentus!A:U,14,FALSE)</f>
        <v>1.9599999999999999E-2</v>
      </c>
      <c r="FA149" s="20" t="str">
        <f>IF(VLOOKUP(BK149,Fundamentus!A:U,21,FALSE)&lt;0,"Negativo",IF(VLOOKUP(BK149,Fundamentus!A:U,21,FALSE)&lt;0.05,"Fraco",IF(VLOOKUP(BK149,Fundamentus!A:U,21,FALSE)&lt;0.1,"Bom",IF(VLOOKUP(BK149,Fundamentus!A:U,21,FALSE)&gt;0.1,"Muito bom","n/a"))))</f>
        <v>Muito bom</v>
      </c>
      <c r="FC149" s="37" t="str">
        <f>IF(VLOOKUP(BK149,Fundamentus!A:U,15,FALSE)&gt;1,"Bom",IF(VLOOKUP(BK149,Fundamentus!A:U,15,FALSE)&lt;1,"Ruim","n/a"))</f>
        <v>Bom</v>
      </c>
      <c r="FD149" s="20" t="str">
        <f>IF(VLOOKUP(BK149,Fundamentus!A:U,20,FALSE)&lt;0.5,"Baixa",IF(VLOOKUP(BK149,Fundamentus!A:U,20,FALSE)&lt;1,"Moderada",IF(VLOOKUP(BK149,Fundamentus!A:U,20,FALSE)&lt;2,"Alerta",IF(VLOOKUP(BK149,Fundamentus!A:U,20,FALSE)&gt;2,"Alta","n/a"))))</f>
        <v>Moderada</v>
      </c>
      <c r="FE149" s="10"/>
    </row>
    <row r="150" spans="1:161" s="2" customFormat="1" ht="11.25" hidden="1"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8">
        <v>9.9600000000000009</v>
      </c>
      <c r="BC150" s="62">
        <v>10.59</v>
      </c>
      <c r="BD150" s="62">
        <v>10.61</v>
      </c>
      <c r="BE150" s="62">
        <v>10.74</v>
      </c>
      <c r="BF150" s="62">
        <v>10.74</v>
      </c>
      <c r="BG150" s="81">
        <v>10.77</v>
      </c>
      <c r="BH150" s="62">
        <v>10.8</v>
      </c>
      <c r="BI150" s="62">
        <v>11</v>
      </c>
      <c r="BJ150" s="62" cm="1">
        <f t="array" aca="1" ref="BJ150" ca="1">_FV(EH150,"Preço")</f>
        <v>11</v>
      </c>
      <c r="BK150" s="83" t="s">
        <v>146</v>
      </c>
      <c r="BL150" s="44" t="e" cm="1" vm="3">
        <f t="array" ref="BL150">_FV(EH150,"Média de volume",TRUE)</f>
        <v>#VALUE!</v>
      </c>
      <c r="BM150" s="44">
        <v>5800</v>
      </c>
      <c r="BN150" s="44" cm="1">
        <f t="array" aca="1" ref="BN150" ca="1">_FV(EH150,"Volume")</f>
        <v>5800</v>
      </c>
      <c r="BO150" s="32" t="e" cm="1" vm="137">
        <f t="array" ref="BO150">_FV(EH150,"Beta")</f>
        <v>#VALUE!</v>
      </c>
      <c r="BP150" s="86" cm="1">
        <f t="array" aca="1" ref="BP150" ca="1">_FV(EH150,"Variação (%)",TRUE)</f>
        <v>5.4840000000000002E-3</v>
      </c>
      <c r="BQ150" s="48"/>
      <c r="BR150" s="48"/>
      <c r="BT150" s="20" cm="1">
        <f t="array" aca="1" ref="BT150" ca="1">_FV(EH150,"Baixo")</f>
        <v>11</v>
      </c>
      <c r="BU150" s="20" cm="1">
        <f t="array" aca="1" ref="BU150" ca="1">_FV(EH150,"Alto")</f>
        <v>11</v>
      </c>
      <c r="BV150" s="32"/>
      <c r="BW150" s="73" t="e">
        <f ca="1">SQRT(22.5*(BJ150/VLOOKUP(BK150,Fundamentus!A:U,3,FALSE))*(BJ150/VLOOKUP(BK150,Fundamentus!A:U,4,FALSE)))</f>
        <v>#N/A</v>
      </c>
      <c r="BY150" s="72">
        <f t="shared" ca="1" si="135"/>
        <v>0</v>
      </c>
      <c r="BZ150" s="8"/>
      <c r="CA150" s="71">
        <f t="shared" si="143"/>
        <v>7</v>
      </c>
      <c r="CB150" s="71">
        <f t="shared" si="136"/>
        <v>11</v>
      </c>
      <c r="CC150" s="71">
        <f t="shared" si="144"/>
        <v>9.3227049180327857</v>
      </c>
      <c r="CD150" s="17"/>
      <c r="CE150" s="43">
        <f t="shared" si="141"/>
        <v>10.82634588145581</v>
      </c>
      <c r="CF150" s="18">
        <f>FORECAST("04/07/2025", BF150:BI150, $BF$5:$BI$5)</f>
        <v>11.029999999999973</v>
      </c>
      <c r="CG150" s="43">
        <f t="shared" si="142"/>
        <v>11.233654118544136</v>
      </c>
      <c r="CI150" s="17"/>
      <c r="CJ150" s="20">
        <f>CA150-2*(CB150-CM150)</f>
        <v>4.3333333333333321</v>
      </c>
      <c r="CK150" s="20">
        <f>CM150-(CB150-CA150)</f>
        <v>5.6666666666666661</v>
      </c>
      <c r="CL150" s="20">
        <f>2*CM150-CB150</f>
        <v>8.3333333333333321</v>
      </c>
      <c r="CM150" s="48">
        <f>(CB150+CA150+BI150)/3</f>
        <v>9.6666666666666661</v>
      </c>
      <c r="CN150" s="20">
        <f>2*CM150-CA150</f>
        <v>12.333333333333332</v>
      </c>
      <c r="CO150" s="20">
        <f>CM150+(CB150-CA150)</f>
        <v>13.666666666666666</v>
      </c>
      <c r="CP150" s="20">
        <f>CB150+2*(CM150-CA150)</f>
        <v>16.333333333333332</v>
      </c>
      <c r="CQ150" s="2" cm="1">
        <f t="array" aca="1" ref="CQ150" ca="1">MAX(_xlfn._xlws.FILTER(CJ150:CP150,CJ150:CP150&lt;BJ150))</f>
        <v>9.6666666666666661</v>
      </c>
      <c r="CR150" s="2" cm="1">
        <f t="array" aca="1" ref="CR150" ca="1">MIN(_xlfn._xlws.FILTER($CJ150:$CP150,$CJ150:$CP150&gt;BJ150))</f>
        <v>12.333333333333332</v>
      </c>
      <c r="CS150" s="19">
        <f t="shared" ca="1" si="145"/>
        <v>0.27586206896551713</v>
      </c>
      <c r="CT150" s="23">
        <f t="shared" ca="1" si="146"/>
        <v>-0.13793103448275856</v>
      </c>
      <c r="CU150" s="23">
        <f t="shared" ca="1" si="147"/>
        <v>-9.1954022988505704E-2</v>
      </c>
      <c r="CV150" s="23">
        <f t="shared" ca="1" si="148"/>
        <v>-5.5172413793103427E-2</v>
      </c>
      <c r="CW150" s="23">
        <f t="shared" ca="1" si="149"/>
        <v>-3.065134099616857E-2</v>
      </c>
      <c r="CX150" s="23">
        <f t="shared" ca="1" si="150"/>
        <v>-1.622718052738336E-2</v>
      </c>
      <c r="CY150" s="23">
        <f t="shared" ca="1" si="151"/>
        <v>-8.3594566353187016E-3</v>
      </c>
      <c r="CZ150" s="23">
        <f t="shared" ca="1" si="152"/>
        <v>-4.2440318302387247E-3</v>
      </c>
      <c r="DA150" s="24">
        <f t="shared" ca="1" si="153"/>
        <v>4.2440318302387247E-3</v>
      </c>
      <c r="DB150" s="24">
        <f t="shared" ca="1" si="154"/>
        <v>8.3594566353187016E-3</v>
      </c>
      <c r="DC150" s="24">
        <f t="shared" ca="1" si="155"/>
        <v>1.622718052738336E-2</v>
      </c>
      <c r="DD150" s="24">
        <f t="shared" ca="1" si="156"/>
        <v>3.065134099616857E-2</v>
      </c>
      <c r="DE150" s="24">
        <f t="shared" ca="1" si="157"/>
        <v>5.5172413793103427E-2</v>
      </c>
      <c r="DF150" s="24">
        <f t="shared" ca="1" si="158"/>
        <v>9.1954022988505704E-2</v>
      </c>
      <c r="DG150" s="24">
        <f t="shared" ca="1" si="159"/>
        <v>0.13793103448275856</v>
      </c>
      <c r="DI150" s="19" cm="1">
        <f t="array" aca="1" ref="DI150" ca="1">MAX(_xlfn._xlws.FILTER(CT150:DG150,CT150:DG150&lt;BP150))</f>
        <v>4.2440318302387247E-3</v>
      </c>
      <c r="DJ150" s="19" cm="1">
        <f t="array" aca="1" ref="DJ150" ca="1">MIN(_xlfn._xlws.FILTER(CT150:DG150,CT150:DG150&gt;BP150))</f>
        <v>8.3594566353187016E-3</v>
      </c>
      <c r="DK150" s="2" cm="1">
        <f t="array" aca="1" ref="DK150" ca="1">_FV(EH150,"Fechamento anterior",TRUE)</f>
        <v>10.94</v>
      </c>
      <c r="DL150" s="36">
        <f ca="1">(BJ150-DM150)/(DN150-DM150)</f>
        <v>0.30140967778794059</v>
      </c>
      <c r="DM150" s="18">
        <f t="shared" ca="1" si="160"/>
        <v>10.986429708222811</v>
      </c>
      <c r="DN150" s="18">
        <f t="shared" ca="1" si="161"/>
        <v>11.031452455590387</v>
      </c>
      <c r="DO150" s="9"/>
      <c r="DP150" s="9"/>
      <c r="DQ150" s="94">
        <v>3.1716315180882119E-3</v>
      </c>
      <c r="DR150" s="94">
        <v>6.5414900060569376E-3</v>
      </c>
      <c r="DS150" s="94">
        <v>8.1289418360196205E-3</v>
      </c>
      <c r="DT150" s="94">
        <f t="shared" ca="1" si="137"/>
        <v>4.115424805079977E-3</v>
      </c>
      <c r="DU150" s="87">
        <f ca="1">(BJ150-CF150)/(CF150-CE150)</f>
        <v>-0.14730858484193682</v>
      </c>
      <c r="DV150" s="46"/>
      <c r="DW150" s="43">
        <f>_xlfn.STDEV.P(BF150:BI150)</f>
        <v>0.10182705927208147</v>
      </c>
      <c r="DX150" s="76" t="e" vm="138">
        <f ca="1">BO150-$DT$2</f>
        <v>#VALUE!</v>
      </c>
      <c r="DY150" s="76" t="e" vm="138">
        <f ca="1">BO150-BP150*100</f>
        <v>#VALUE!</v>
      </c>
      <c r="DZ150" s="101"/>
      <c r="EA150" s="100" t="e" vm="138">
        <v>#VALUE!</v>
      </c>
      <c r="EB150" s="107" t="e" vm="138">
        <v>#VALUE!</v>
      </c>
      <c r="EC150" s="107" t="e" vm="138">
        <v>#VALUE!</v>
      </c>
      <c r="ED150" s="98" t="e" vm="138">
        <f t="shared" ca="1" si="138"/>
        <v>#VALUE!</v>
      </c>
      <c r="EE150" s="66"/>
      <c r="EF150" s="66"/>
      <c r="EH150" s="2" t="e" vm="151">
        <v>#VALUE!</v>
      </c>
      <c r="EJ150" s="10" t="e" cm="1" vm="152">
        <f t="array" ref="EJ150">_FV(EH150,"Ações em circulação",TRUE)</f>
        <v>#VALUE!</v>
      </c>
      <c r="EK150" s="21" t="e">
        <f>VLOOKUP(BK150,Fundamentus!A:U,5,FALSE)</f>
        <v>#N/A</v>
      </c>
      <c r="EL150" s="2" t="e" vm="138">
        <f ca="1">(BJ150*EJ150)/EK150</f>
        <v>#VALUE!</v>
      </c>
      <c r="EM150" s="20" t="e" vm="138">
        <v>#VALUE!</v>
      </c>
      <c r="EN150" s="20" t="e" vm="138">
        <f t="shared" ca="1" si="139"/>
        <v>#VALUE!</v>
      </c>
      <c r="EP150" s="19" t="e" vm="138">
        <f t="shared" ca="1" si="134"/>
        <v>#VALUE!</v>
      </c>
      <c r="EQ150" s="40" t="e">
        <f>IF(VLOOKUP(BK150,Fundamentus!A:U,3,FALSE)&lt;15,"Bom",IF(VLOOKUP(BK150,Fundamentus!A:U,3,FALSE)&gt;15,"Ruim","n/a"))</f>
        <v>#N/A</v>
      </c>
      <c r="ER150" s="36" t="e">
        <f>IF(VLOOKUP(BK150,Fundamentus!A:U,4,FALSE)&lt;1,"Baixo",IF(VLOOKUP(BK150,Fundamentus!A:U,4,FALSE)&lt;1.5,"Moderado",IF(VLOOKUP(BK150,Fundamentus!A:U,4,FALSE)&gt;1.5,"Alto","n/a")))</f>
        <v>#N/A</v>
      </c>
      <c r="ES150" s="20" t="e">
        <f>IF(VLOOKUP(BK150,Fundamentus!A:U,8,FALSE)&lt;0,"Risco elevado",IF(VLOOKUP(BK150,Fundamentus!A:U,8,FALSE)&lt;1,"Saudável",IF(VLOOKUP(BK150,Fundamentus!A:U,8,FALSE)&lt;3,"Estável",IF(VLOOKUP(BK150,Fundamentus!A:U,8,FALSE)&gt;3,"Alerta","n/a"))))</f>
        <v>#N/A</v>
      </c>
      <c r="ET150" s="36" t="e">
        <f t="shared" si="140"/>
        <v>#N/A</v>
      </c>
      <c r="EU150" s="20" t="e">
        <f>IF(VLOOKUP(BK150,Fundamentus!A:U,12,FALSE)&lt;2,"Subvalorizada",IF(VLOOKUP(BK150,Fundamentus!A:U,12,FALSE)&lt;6,"Muita barata",IF(VLOOKUP(BK150,Fundamentus!A:U,12,FALSE)&lt;6,"Barata",IF(VLOOKUP(BK150,Fundamentus!A:U,12,FALSE)&lt;8,"Atrativa",IF(VLOOKUP(BK150,Fundamentus!A:U,12,FALSE)&gt;8,"Supervalorizada","n/a")))))</f>
        <v>#N/A</v>
      </c>
      <c r="EW150" s="20" t="e">
        <f>IF(VLOOKUP(BK150,Fundamentus!A:U,17,FALSE)&lt;0.1,"Fraco retorno",IF(VLOOKUP(BK150,Fundamentus!A:U,17,FALSE)&gt;0.1,"Bom retorno","n/a"))</f>
        <v>#N/A</v>
      </c>
      <c r="EX150" s="20" t="e">
        <f>IF(VLOOKUP(BK150,Fundamentus!A:U,16,FALSE)&lt;0.1,"Ineficiente",IF(VLOOKUP(BK150,Fundamentus!A:U,16,FALSE)&gt;0.1,"Eficiente","n/a"))</f>
        <v>#N/A</v>
      </c>
      <c r="EY150" s="41" t="e">
        <f>IF(VLOOKUP(BK150,Fundamentus!A:U,16,FALSE)&lt;0.1,"Oper. Ineficiente",IF(VLOOKUP(BK150,Fundamentus!A:U,16,FALSE)&gt;0.1,"Oper.Eficiente","n/a"))</f>
        <v>#N/A</v>
      </c>
      <c r="EZ150" s="42" t="e">
        <f>VLOOKUP(BK150,Fundamentus!A:U,14,FALSE)</f>
        <v>#N/A</v>
      </c>
      <c r="FA150" s="20" t="e">
        <f>IF(VLOOKUP(BK150,Fundamentus!A:U,21,FALSE)&lt;0,"Negativo",IF(VLOOKUP(BK150,Fundamentus!A:U,21,FALSE)&lt;0.05,"Fraco",IF(VLOOKUP(BK150,Fundamentus!A:U,21,FALSE)&lt;0.1,"Bom",IF(VLOOKUP(BK150,Fundamentus!A:U,21,FALSE)&gt;0.1,"Muito bom","n/a"))))</f>
        <v>#N/A</v>
      </c>
      <c r="FC150" s="37" t="e">
        <f>IF(VLOOKUP(BK150,Fundamentus!A:U,15,FALSE)&gt;1,"Bom",IF(VLOOKUP(BK150,Fundamentus!A:U,15,FALSE)&lt;1,"Ruim","n/a"))</f>
        <v>#N/A</v>
      </c>
      <c r="FD150" s="20" t="e">
        <f>IF(VLOOKUP(BK150,Fundamentus!A:U,20,FALSE)&lt;0.5,"Baixa",IF(VLOOKUP(BK150,Fundamentus!A:U,20,FALSE)&lt;1,"Moderada",IF(VLOOKUP(BK150,Fundamentus!A:U,20,FALSE)&lt;2,"Alerta",IF(VLOOKUP(BK150,Fundamentus!A:U,20,FALSE)&gt;2,"Alta","n/a"))))</f>
        <v>#N/A</v>
      </c>
      <c r="FE150" s="10"/>
    </row>
    <row r="151" spans="1:161" s="2" customFormat="1" ht="11.25" hidden="1"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8">
        <v>3.94</v>
      </c>
      <c r="BC151" s="62">
        <v>3.91</v>
      </c>
      <c r="BD151" s="62">
        <v>3.83</v>
      </c>
      <c r="BE151" s="62">
        <v>3.67</v>
      </c>
      <c r="BF151" s="62">
        <v>3.64</v>
      </c>
      <c r="BG151" s="81">
        <v>3.64</v>
      </c>
      <c r="BH151" s="62">
        <v>3.5</v>
      </c>
      <c r="BI151" s="62">
        <v>3.58</v>
      </c>
      <c r="BJ151" s="62" cm="1">
        <f t="array" aca="1" ref="BJ151" ca="1">_FV(EH151,"Preço")</f>
        <v>3.61</v>
      </c>
      <c r="BK151" s="83" t="s">
        <v>147</v>
      </c>
      <c r="BL151" s="44" cm="1">
        <f t="array" aca="1" ref="BL151" ca="1">_FV(EH151,"Média de volume",TRUE)</f>
        <v>2435060</v>
      </c>
      <c r="BM151" s="44">
        <v>1747200</v>
      </c>
      <c r="BN151" s="44" cm="1">
        <f t="array" aca="1" ref="BN151" ca="1">_FV(EH151,"Volume")</f>
        <v>1391400</v>
      </c>
      <c r="BO151" s="32" cm="1">
        <f t="array" aca="1" ref="BO151" ca="1">_FV(EH151,"Beta")</f>
        <v>0.34839999999999999</v>
      </c>
      <c r="BP151" s="86" cm="1">
        <f t="array" aca="1" ref="BP151" ca="1">_FV(EH151,"Variação (%)",TRUE)</f>
        <v>8.3800000000000003E-3</v>
      </c>
      <c r="BQ151" s="48"/>
      <c r="BR151" s="48"/>
      <c r="BT151" s="20" cm="1">
        <f t="array" aca="1" ref="BT151" ca="1">_FV(EH151,"Baixo")</f>
        <v>3.55</v>
      </c>
      <c r="BU151" s="20" cm="1">
        <f t="array" aca="1" ref="BU151" ca="1">_FV(EH151,"Alto")</f>
        <v>3.64</v>
      </c>
      <c r="BV151" s="32"/>
      <c r="BW151" s="73">
        <f ca="1">SQRT(22.5*(BJ151/VLOOKUP(BK151,Fundamentus!A:U,3,FALSE))*(BJ151/VLOOKUP(BK151,Fundamentus!A:U,4,FALSE)))</f>
        <v>3.0039557541858399</v>
      </c>
      <c r="BY151" s="72">
        <f t="shared" ca="1" si="135"/>
        <v>8.3798882681563706E-3</v>
      </c>
      <c r="BZ151" s="8"/>
      <c r="CA151" s="71">
        <f t="shared" si="143"/>
        <v>3.5</v>
      </c>
      <c r="CB151" s="71">
        <f t="shared" si="136"/>
        <v>4.72</v>
      </c>
      <c r="CC151" s="71">
        <f t="shared" si="144"/>
        <v>4.1218032786885255</v>
      </c>
      <c r="CD151" s="17"/>
      <c r="CE151" s="43">
        <f t="shared" si="141"/>
        <v>3.3951087470692585</v>
      </c>
      <c r="CF151" s="18">
        <f>FORECAST("04/07/2025", BF151:BI151, $BF$5:$BI$5)</f>
        <v>3.5100000000000193</v>
      </c>
      <c r="CG151" s="43">
        <f t="shared" si="142"/>
        <v>3.6248912529307802</v>
      </c>
      <c r="CI151" s="17"/>
      <c r="CJ151" s="20">
        <f>CA151-2*(CB151-CM151)</f>
        <v>1.9266666666666667</v>
      </c>
      <c r="CK151" s="20">
        <f>CM151-(CB151-CA151)</f>
        <v>2.7133333333333334</v>
      </c>
      <c r="CL151" s="20">
        <f>2*CM151-CB151</f>
        <v>3.1466666666666665</v>
      </c>
      <c r="CM151" s="48">
        <f>(CB151+CA151+BI151)/3</f>
        <v>3.9333333333333331</v>
      </c>
      <c r="CN151" s="20">
        <f>2*CM151-CA151</f>
        <v>4.3666666666666663</v>
      </c>
      <c r="CO151" s="20">
        <f>CM151+(CB151-CA151)</f>
        <v>5.1533333333333324</v>
      </c>
      <c r="CP151" s="20">
        <f>CB151+2*(CM151-CA151)</f>
        <v>5.586666666666666</v>
      </c>
      <c r="CQ151" s="2" cm="1">
        <f t="array" aca="1" ref="CQ151" ca="1">MAX(_xlfn._xlws.FILTER(CJ151:CP151,CJ151:CP151&lt;BJ151))</f>
        <v>3.1466666666666665</v>
      </c>
      <c r="CR151" s="2" cm="1">
        <f t="array" aca="1" ref="CR151" ca="1">MIN(_xlfn._xlws.FILTER($CJ151:$CP151,$CJ151:$CP151&gt;BJ151))</f>
        <v>3.9333333333333331</v>
      </c>
      <c r="CS151" s="19">
        <f t="shared" ca="1" si="145"/>
        <v>0.25</v>
      </c>
      <c r="CT151" s="23">
        <f t="shared" ca="1" si="146"/>
        <v>-0.125</v>
      </c>
      <c r="CU151" s="23">
        <f t="shared" ca="1" si="147"/>
        <v>-8.3333333333333329E-2</v>
      </c>
      <c r="CV151" s="23">
        <f t="shared" ca="1" si="148"/>
        <v>-0.05</v>
      </c>
      <c r="CW151" s="23">
        <f t="shared" ca="1" si="149"/>
        <v>-2.7777777777777776E-2</v>
      </c>
      <c r="CX151" s="23">
        <f t="shared" ca="1" si="150"/>
        <v>-1.4705882352941176E-2</v>
      </c>
      <c r="CY151" s="23">
        <f t="shared" ca="1" si="151"/>
        <v>-7.575757575757576E-3</v>
      </c>
      <c r="CZ151" s="23">
        <f t="shared" ca="1" si="152"/>
        <v>-3.8461538461538464E-3</v>
      </c>
      <c r="DA151" s="24">
        <f t="shared" ca="1" si="153"/>
        <v>3.8461538461538464E-3</v>
      </c>
      <c r="DB151" s="24">
        <f t="shared" ca="1" si="154"/>
        <v>7.575757575757576E-3</v>
      </c>
      <c r="DC151" s="24">
        <f t="shared" ca="1" si="155"/>
        <v>1.4705882352941176E-2</v>
      </c>
      <c r="DD151" s="24">
        <f t="shared" ca="1" si="156"/>
        <v>2.7777777777777776E-2</v>
      </c>
      <c r="DE151" s="24">
        <f t="shared" ca="1" si="157"/>
        <v>0.05</v>
      </c>
      <c r="DF151" s="24">
        <f t="shared" ca="1" si="158"/>
        <v>8.3333333333333329E-2</v>
      </c>
      <c r="DG151" s="24">
        <f t="shared" ca="1" si="159"/>
        <v>0.125</v>
      </c>
      <c r="DI151" s="19" cm="1">
        <f t="array" aca="1" ref="DI151" ca="1">MAX(_xlfn._xlws.FILTER(CT151:DG151,CT151:DG151&lt;BP151))</f>
        <v>7.575757575757576E-3</v>
      </c>
      <c r="DJ151" s="19" cm="1">
        <f t="array" aca="1" ref="DJ151" ca="1">MIN(_xlfn._xlws.FILTER(CT151:DG151,CT151:DG151&gt;BP151))</f>
        <v>1.4705882352941176E-2</v>
      </c>
      <c r="DK151" s="2" cm="1">
        <f t="array" aca="1" ref="DK151" ca="1">_FV(EH151,"Fechamento anterior",TRUE)</f>
        <v>3.58</v>
      </c>
      <c r="DL151" s="36">
        <f ca="1">(BJ151-DM151)/(DN151-DM151)</f>
        <v>0.11277932960892351</v>
      </c>
      <c r="DM151" s="18">
        <f t="shared" ca="1" si="160"/>
        <v>3.6071212121212124</v>
      </c>
      <c r="DN151" s="18">
        <f t="shared" ca="1" si="161"/>
        <v>3.6326470588235296</v>
      </c>
      <c r="DO151" s="9"/>
      <c r="DP151" s="9"/>
      <c r="DQ151" s="94">
        <v>2.166199813258635E-2</v>
      </c>
      <c r="DR151" s="94">
        <v>6.9503737323806476E-3</v>
      </c>
      <c r="DS151" s="94">
        <v>7.1201525746980264E-3</v>
      </c>
      <c r="DT151" s="94">
        <f t="shared" ca="1" si="137"/>
        <v>7.1301247771836003E-3</v>
      </c>
      <c r="DU151" s="87">
        <f ca="1">(BJ151-CF151)/(CF151-CE151)</f>
        <v>0.87038827977831779</v>
      </c>
      <c r="DV151" s="46"/>
      <c r="DW151" s="43">
        <f>_xlfn.STDEV.P(BF151:BI151)</f>
        <v>5.7445626465380338E-2</v>
      </c>
      <c r="DX151" s="76">
        <f ca="1">BO151-$DT$2</f>
        <v>-0.64870000000000005</v>
      </c>
      <c r="DY151" s="76">
        <f ca="1">BO151-BP151*100</f>
        <v>-0.48960000000000009</v>
      </c>
      <c r="DZ151" s="101"/>
      <c r="EA151" s="100">
        <v>-2.1536</v>
      </c>
      <c r="EB151" s="107">
        <v>-0.99269999999999992</v>
      </c>
      <c r="EC151" s="107">
        <v>-9.7700000000000009E-2</v>
      </c>
      <c r="ED151" s="98">
        <f t="shared" ca="1" si="138"/>
        <v>-0.15909999999999996</v>
      </c>
      <c r="EE151" s="66"/>
      <c r="EF151" s="66"/>
      <c r="EH151" s="2" t="e" vm="153">
        <v>#VALUE!</v>
      </c>
      <c r="EJ151" s="10" cm="1">
        <f t="array" aca="1" ref="EJ151" ca="1">_FV(EH151,"Ações em circulação",TRUE)</f>
        <v>1235936000</v>
      </c>
      <c r="EK151" s="21">
        <f>VLOOKUP(BK151,Fundamentus!A:U,5,FALSE)</f>
        <v>1.121</v>
      </c>
      <c r="EL151" s="2">
        <f ca="1">(BJ151*EJ151)/EK151</f>
        <v>3980132881.3559322</v>
      </c>
      <c r="EM151" s="20">
        <v>399836872.56378233</v>
      </c>
      <c r="EN151" s="20">
        <f t="shared" ca="1" si="139"/>
        <v>403187460.88135594</v>
      </c>
      <c r="EP151" s="19">
        <f t="shared" ca="1" si="134"/>
        <v>8.379888268156499E-3</v>
      </c>
      <c r="EQ151" s="40" t="str">
        <f>IF(VLOOKUP(BK151,Fundamentus!A:U,3,FALSE)&lt;15,"Bom",IF(VLOOKUP(BK151,Fundamentus!A:U,3,FALSE)&gt;15,"Ruim","n/a"))</f>
        <v>Bom</v>
      </c>
      <c r="ER151" s="36" t="str">
        <f>IF(VLOOKUP(BK151,Fundamentus!A:U,4,FALSE)&lt;1,"Baixo",IF(VLOOKUP(BK151,Fundamentus!A:U,4,FALSE)&lt;1.5,"Moderado",IF(VLOOKUP(BK151,Fundamentus!A:U,4,FALSE)&gt;1.5,"Alto","n/a")))</f>
        <v>Alto</v>
      </c>
      <c r="ES151" s="20" t="str">
        <f>IF(VLOOKUP(BK151,Fundamentus!A:U,8,FALSE)&lt;0,"Risco elevado",IF(VLOOKUP(BK151,Fundamentus!A:U,8,FALSE)&lt;1,"Saudável",IF(VLOOKUP(BK151,Fundamentus!A:U,8,FALSE)&lt;3,"Estável",IF(VLOOKUP(BK151,Fundamentus!A:U,8,FALSE)&gt;3,"Alerta","n/a"))))</f>
        <v>Alerta</v>
      </c>
      <c r="ET151" s="36" t="str">
        <f t="shared" si="140"/>
        <v>Bom</v>
      </c>
      <c r="EU151" s="20" t="str">
        <f>IF(VLOOKUP(BK151,Fundamentus!A:U,12,FALSE)&lt;2,"Subvalorizada",IF(VLOOKUP(BK151,Fundamentus!A:U,12,FALSE)&lt;6,"Muita barata",IF(VLOOKUP(BK151,Fundamentus!A:U,12,FALSE)&lt;6,"Barata",IF(VLOOKUP(BK151,Fundamentus!A:U,12,FALSE)&lt;8,"Atrativa",IF(VLOOKUP(BK151,Fundamentus!A:U,12,FALSE)&gt;8,"Supervalorizada","n/a")))))</f>
        <v>Muita barata</v>
      </c>
      <c r="EW151" s="20" t="str">
        <f>IF(VLOOKUP(BK151,Fundamentus!A:U,17,FALSE)&lt;0.1,"Fraco retorno",IF(VLOOKUP(BK151,Fundamentus!A:U,17,FALSE)&gt;0.1,"Bom retorno","n/a"))</f>
        <v>Bom retorno</v>
      </c>
      <c r="EX151" s="20" t="str">
        <f>IF(VLOOKUP(BK151,Fundamentus!A:U,16,FALSE)&lt;0.1,"Ineficiente",IF(VLOOKUP(BK151,Fundamentus!A:U,16,FALSE)&gt;0.1,"Eficiente","n/a"))</f>
        <v>Ineficiente</v>
      </c>
      <c r="EY151" s="41" t="str">
        <f>IF(VLOOKUP(BK151,Fundamentus!A:U,16,FALSE)&lt;0.1,"Oper. Ineficiente",IF(VLOOKUP(BK151,Fundamentus!A:U,16,FALSE)&gt;0.1,"Oper.Eficiente","n/a"))</f>
        <v>Oper. Ineficiente</v>
      </c>
      <c r="EZ151" s="42">
        <f>VLOOKUP(BK151,Fundamentus!A:U,14,FALSE)</f>
        <v>0.1013</v>
      </c>
      <c r="FA151" s="20" t="str">
        <f>IF(VLOOKUP(BK151,Fundamentus!A:U,21,FALSE)&lt;0,"Negativo",IF(VLOOKUP(BK151,Fundamentus!A:U,21,FALSE)&lt;0.05,"Fraco",IF(VLOOKUP(BK151,Fundamentus!A:U,21,FALSE)&lt;0.1,"Bom",IF(VLOOKUP(BK151,Fundamentus!A:U,21,FALSE)&gt;0.1,"Muito bom","n/a"))))</f>
        <v>Bom</v>
      </c>
      <c r="FC151" s="37" t="str">
        <f>IF(VLOOKUP(BK151,Fundamentus!A:U,15,FALSE)&gt;1,"Bom",IF(VLOOKUP(BK151,Fundamentus!A:U,15,FALSE)&lt;1,"Ruim","n/a"))</f>
        <v>Bom</v>
      </c>
      <c r="FD151" s="20" t="str">
        <f>IF(VLOOKUP(BK151,Fundamentus!A:U,20,FALSE)&lt;0.5,"Baixa",IF(VLOOKUP(BK151,Fundamentus!A:U,20,FALSE)&lt;1,"Moderada",IF(VLOOKUP(BK151,Fundamentus!A:U,20,FALSE)&lt;2,"Alerta",IF(VLOOKUP(BK151,Fundamentus!A:U,20,FALSE)&gt;2,"Alta","n/a"))))</f>
        <v>Alta</v>
      </c>
      <c r="FE151" s="10"/>
    </row>
    <row r="152" spans="1:161" s="2" customFormat="1" ht="11.25" hidden="1"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8">
        <v>8.99</v>
      </c>
      <c r="BC152" s="62">
        <v>8.77</v>
      </c>
      <c r="BD152" s="62">
        <v>8.8000000000000007</v>
      </c>
      <c r="BE152" s="62">
        <v>8.44</v>
      </c>
      <c r="BF152" s="62">
        <v>8.64</v>
      </c>
      <c r="BG152" s="81">
        <v>8.8000000000000007</v>
      </c>
      <c r="BH152" s="62">
        <v>9</v>
      </c>
      <c r="BI152" s="62">
        <v>9.39</v>
      </c>
      <c r="BJ152" s="62" cm="1">
        <f t="array" aca="1" ref="BJ152" ca="1">_FV(EH152,"Preço")</f>
        <v>9.42</v>
      </c>
      <c r="BK152" s="83" t="s">
        <v>148</v>
      </c>
      <c r="BL152" s="44" cm="1">
        <f t="array" aca="1" ref="BL152" ca="1">_FV(EH152,"Média de volume",TRUE)</f>
        <v>6775220</v>
      </c>
      <c r="BM152" s="44">
        <v>1000</v>
      </c>
      <c r="BN152" s="44" cm="1">
        <f t="array" aca="1" ref="BN152" ca="1">_FV(EH152,"Volume")</f>
        <v>6200</v>
      </c>
      <c r="BO152" s="32" cm="1">
        <f t="array" aca="1" ref="BO152" ca="1">_FV(EH152,"Beta")</f>
        <v>1.3775999999999999</v>
      </c>
      <c r="BP152" s="86" cm="1">
        <f t="array" aca="1" ref="BP152" ca="1">_FV(EH152,"Variação (%)",TRUE)</f>
        <v>3.1949999999999999E-3</v>
      </c>
      <c r="BQ152" s="48"/>
      <c r="BR152" s="48"/>
      <c r="BT152" s="20" cm="1">
        <f t="array" aca="1" ref="BT152" ca="1">_FV(EH152,"Baixo")</f>
        <v>9.4</v>
      </c>
      <c r="BU152" s="20" cm="1">
        <f t="array" aca="1" ref="BU152" ca="1">_FV(EH152,"Alto")</f>
        <v>9.42</v>
      </c>
      <c r="BV152" s="32"/>
      <c r="BW152" s="73">
        <f ca="1">SQRT(22.5*(BJ152/VLOOKUP(BK152,Fundamentus!A:U,3,FALSE))*(BJ152/VLOOKUP(BK152,Fundamentus!A:U,4,FALSE)))</f>
        <v>11.944930883439067</v>
      </c>
      <c r="BY152" s="72">
        <f t="shared" ca="1" si="135"/>
        <v>3.1948881789136698E-3</v>
      </c>
      <c r="BZ152" s="8"/>
      <c r="CA152" s="71">
        <f t="shared" si="143"/>
        <v>6.95</v>
      </c>
      <c r="CB152" s="71">
        <f t="shared" si="136"/>
        <v>9.73</v>
      </c>
      <c r="CC152" s="71">
        <f t="shared" si="144"/>
        <v>8.3037704918032791</v>
      </c>
      <c r="CD152" s="17"/>
      <c r="CE152" s="43">
        <f t="shared" si="141"/>
        <v>9.0092192941977487</v>
      </c>
      <c r="CF152" s="18">
        <f>FORECAST("04/07/2025", BF152:BI152, $BF$5:$BI$5)</f>
        <v>9.5699999999999363</v>
      </c>
      <c r="CG152" s="43">
        <f t="shared" si="142"/>
        <v>10.130780705802124</v>
      </c>
      <c r="CI152" s="17"/>
      <c r="CJ152" s="20">
        <f>CA152-2*(CB152-CM152)</f>
        <v>4.8699999999999983</v>
      </c>
      <c r="CK152" s="20">
        <f>CM152-(CB152-CA152)</f>
        <v>5.9099999999999993</v>
      </c>
      <c r="CL152" s="20">
        <f>2*CM152-CB152</f>
        <v>7.6499999999999986</v>
      </c>
      <c r="CM152" s="48">
        <f>(CB152+CA152+BI152)/3</f>
        <v>8.69</v>
      </c>
      <c r="CN152" s="20">
        <f>2*CM152-CA152</f>
        <v>10.43</v>
      </c>
      <c r="CO152" s="20">
        <f>CM152+(CB152-CA152)</f>
        <v>11.469999999999999</v>
      </c>
      <c r="CP152" s="20">
        <f>CB152+2*(CM152-CA152)</f>
        <v>13.209999999999999</v>
      </c>
      <c r="CQ152" s="2" cm="1">
        <f t="array" aca="1" ref="CQ152" ca="1">MAX(_xlfn._xlws.FILTER(CJ152:CP152,CJ152:CP152&lt;BJ152))</f>
        <v>8.69</v>
      </c>
      <c r="CR152" s="2" cm="1">
        <f t="array" aca="1" ref="CR152" ca="1">MIN(_xlfn._xlws.FILTER($CJ152:$CP152,$CJ152:$CP152&gt;BJ152))</f>
        <v>10.43</v>
      </c>
      <c r="CS152" s="19">
        <f t="shared" ca="1" si="145"/>
        <v>0.20023014959723828</v>
      </c>
      <c r="CT152" s="23">
        <f t="shared" ca="1" si="146"/>
        <v>-0.10011507479861914</v>
      </c>
      <c r="CU152" s="23">
        <f t="shared" ca="1" si="147"/>
        <v>-6.6743383199079423E-2</v>
      </c>
      <c r="CV152" s="23">
        <f t="shared" ca="1" si="148"/>
        <v>-4.0046029919447654E-2</v>
      </c>
      <c r="CW152" s="23">
        <f t="shared" ca="1" si="149"/>
        <v>-2.2247794399693141E-2</v>
      </c>
      <c r="CX152" s="23">
        <f t="shared" ca="1" si="150"/>
        <v>-1.1778244093955193E-2</v>
      </c>
      <c r="CY152" s="23">
        <f t="shared" ca="1" si="151"/>
        <v>-6.0675802908254023E-3</v>
      </c>
      <c r="CZ152" s="23">
        <f t="shared" ca="1" si="152"/>
        <v>-3.0804638399575118E-3</v>
      </c>
      <c r="DA152" s="24">
        <f t="shared" ca="1" si="153"/>
        <v>3.0804638399575118E-3</v>
      </c>
      <c r="DB152" s="24">
        <f t="shared" ca="1" si="154"/>
        <v>6.0675802908254023E-3</v>
      </c>
      <c r="DC152" s="24">
        <f t="shared" ca="1" si="155"/>
        <v>1.1778244093955193E-2</v>
      </c>
      <c r="DD152" s="24">
        <f t="shared" ca="1" si="156"/>
        <v>2.2247794399693141E-2</v>
      </c>
      <c r="DE152" s="24">
        <f t="shared" ca="1" si="157"/>
        <v>4.0046029919447654E-2</v>
      </c>
      <c r="DF152" s="24">
        <f t="shared" ca="1" si="158"/>
        <v>6.6743383199079423E-2</v>
      </c>
      <c r="DG152" s="24">
        <f t="shared" ca="1" si="159"/>
        <v>0.10011507479861914</v>
      </c>
      <c r="DI152" s="19" cm="1">
        <f t="array" aca="1" ref="DI152" ca="1">MAX(_xlfn._xlws.FILTER(CT152:DG152,CT152:DG152&lt;BP152))</f>
        <v>3.0804638399575118E-3</v>
      </c>
      <c r="DJ152" s="19" cm="1">
        <f t="array" aca="1" ref="DJ152" ca="1">MIN(_xlfn._xlws.FILTER(CT152:DG152,CT152:DG152&gt;BP152))</f>
        <v>6.0675802908254023E-3</v>
      </c>
      <c r="DK152" s="2" cm="1">
        <f t="array" aca="1" ref="DK152" ca="1">_FV(EH152,"Fechamento anterior",TRUE)</f>
        <v>9.39</v>
      </c>
      <c r="DL152" s="36">
        <f ca="1">(BJ152-DM152)/(DN152-DM152)</f>
        <v>3.8305951856311402E-2</v>
      </c>
      <c r="DM152" s="18">
        <f t="shared" ca="1" si="160"/>
        <v>9.4189255554572018</v>
      </c>
      <c r="DN152" s="18">
        <f t="shared" ca="1" si="161"/>
        <v>9.4469745789308508</v>
      </c>
      <c r="DO152" s="9"/>
      <c r="DP152" s="9"/>
      <c r="DQ152" s="94">
        <v>1.5589490462234564E-2</v>
      </c>
      <c r="DR152" s="94">
        <v>9.3664762492923735E-3</v>
      </c>
      <c r="DS152" s="94">
        <v>1.6152101866387582E-2</v>
      </c>
      <c r="DT152" s="94">
        <f t="shared" ca="1" si="137"/>
        <v>2.9871164508678905E-3</v>
      </c>
      <c r="DU152" s="87">
        <f ca="1">(BJ152-CF152)/(CF152-CE152)</f>
        <v>-0.26748423839825919</v>
      </c>
      <c r="DV152" s="46"/>
      <c r="DW152" s="43">
        <f>_xlfn.STDEV.P(BF152:BI152)</f>
        <v>0.28039035290109393</v>
      </c>
      <c r="DX152" s="76">
        <f ca="1">BO152-$DT$2</f>
        <v>0.38049999999999984</v>
      </c>
      <c r="DY152" s="76">
        <f ca="1">BO152-BP152*100</f>
        <v>1.0581</v>
      </c>
      <c r="DZ152" s="101"/>
      <c r="EA152" s="100">
        <v>0.62759999999999994</v>
      </c>
      <c r="EB152" s="107">
        <v>-0.3974000000000002</v>
      </c>
      <c r="EC152" s="107">
        <v>-0.24330000000000007</v>
      </c>
      <c r="ED152" s="98">
        <f t="shared" ca="1" si="138"/>
        <v>-0.6776000000000002</v>
      </c>
      <c r="EE152" s="66"/>
      <c r="EF152" s="66"/>
      <c r="EH152" s="2" t="e" vm="154">
        <v>#VALUE!</v>
      </c>
      <c r="EJ152" s="10" cm="1">
        <f t="array" aca="1" ref="EJ152" ca="1">_FV(EH152,"Ações em circulação",TRUE)</f>
        <v>10108690000</v>
      </c>
      <c r="EK152" s="21">
        <f>VLOOKUP(BK152,Fundamentus!A:U,5,FALSE)</f>
        <v>0</v>
      </c>
      <c r="EL152" s="2" t="e">
        <f ca="1">(BJ152*EJ152)/EK152</f>
        <v>#DIV/0!</v>
      </c>
      <c r="EM152" s="20" t="e">
        <v>#DIV/0!</v>
      </c>
      <c r="EN152" s="20" t="e">
        <f t="shared" ca="1" si="139"/>
        <v>#DIV/0!</v>
      </c>
      <c r="EP152" s="19" t="e">
        <f t="shared" ca="1" si="134"/>
        <v>#DIV/0!</v>
      </c>
      <c r="EQ152" s="40" t="str">
        <f>IF(VLOOKUP(BK152,Fundamentus!A:U,3,FALSE)&lt;15,"Bom",IF(VLOOKUP(BK152,Fundamentus!A:U,3,FALSE)&gt;15,"Ruim","n/a"))</f>
        <v>Bom</v>
      </c>
      <c r="ER152" s="36" t="str">
        <f>IF(VLOOKUP(BK152,Fundamentus!A:U,4,FALSE)&lt;1,"Baixo",IF(VLOOKUP(BK152,Fundamentus!A:U,4,FALSE)&lt;1.5,"Moderado",IF(VLOOKUP(BK152,Fundamentus!A:U,4,FALSE)&gt;1.5,"Alto","n/a")))</f>
        <v>Alto</v>
      </c>
      <c r="ES152" s="20" t="str">
        <f>IF(VLOOKUP(BK152,Fundamentus!A:U,8,FALSE)&lt;0,"Risco elevado",IF(VLOOKUP(BK152,Fundamentus!A:U,8,FALSE)&lt;1,"Saudável",IF(VLOOKUP(BK152,Fundamentus!A:U,8,FALSE)&lt;3,"Estável",IF(VLOOKUP(BK152,Fundamentus!A:U,8,FALSE)&gt;3,"Alerta","n/a"))))</f>
        <v>Saudável</v>
      </c>
      <c r="ET152" s="36" t="str">
        <f t="shared" si="140"/>
        <v>Ruim</v>
      </c>
      <c r="EU152" s="20" t="str">
        <f>IF(VLOOKUP(BK152,Fundamentus!A:U,12,FALSE)&lt;2,"Subvalorizada",IF(VLOOKUP(BK152,Fundamentus!A:U,12,FALSE)&lt;6,"Muita barata",IF(VLOOKUP(BK152,Fundamentus!A:U,12,FALSE)&lt;6,"Barata",IF(VLOOKUP(BK152,Fundamentus!A:U,12,FALSE)&lt;8,"Atrativa",IF(VLOOKUP(BK152,Fundamentus!A:U,12,FALSE)&gt;8,"Supervalorizada","n/a")))))</f>
        <v>Subvalorizada</v>
      </c>
      <c r="EW152" s="20" t="str">
        <f>IF(VLOOKUP(BK152,Fundamentus!A:U,17,FALSE)&lt;0.1,"Fraco retorno",IF(VLOOKUP(BK152,Fundamentus!A:U,17,FALSE)&gt;0.1,"Bom retorno","n/a"))</f>
        <v>Bom retorno</v>
      </c>
      <c r="EX152" s="20" t="str">
        <f>IF(VLOOKUP(BK152,Fundamentus!A:U,16,FALSE)&lt;0.1,"Ineficiente",IF(VLOOKUP(BK152,Fundamentus!A:U,16,FALSE)&gt;0.1,"Eficiente","n/a"))</f>
        <v>Ineficiente</v>
      </c>
      <c r="EY152" s="41" t="str">
        <f>IF(VLOOKUP(BK152,Fundamentus!A:U,16,FALSE)&lt;0.1,"Oper. Ineficiente",IF(VLOOKUP(BK152,Fundamentus!A:U,16,FALSE)&gt;0.1,"Oper.Eficiente","n/a"))</f>
        <v>Oper. Ineficiente</v>
      </c>
      <c r="EZ152" s="42">
        <f>VLOOKUP(BK152,Fundamentus!A:U,14,FALSE)</f>
        <v>0</v>
      </c>
      <c r="FA152" s="20" t="str">
        <f>IF(VLOOKUP(BK152,Fundamentus!A:U,21,FALSE)&lt;0,"Negativo",IF(VLOOKUP(BK152,Fundamentus!A:U,21,FALSE)&lt;0.05,"Fraco",IF(VLOOKUP(BK152,Fundamentus!A:U,21,FALSE)&lt;0.1,"Bom",IF(VLOOKUP(BK152,Fundamentus!A:U,21,FALSE)&gt;0.1,"Muito bom","n/a"))))</f>
        <v>Muito bom</v>
      </c>
      <c r="FC152" s="37" t="str">
        <f>IF(VLOOKUP(BK152,Fundamentus!A:U,15,FALSE)&gt;1,"Bom",IF(VLOOKUP(BK152,Fundamentus!A:U,15,FALSE)&lt;1,"Ruim","n/a"))</f>
        <v>Ruim</v>
      </c>
      <c r="FD152" s="20" t="str">
        <f>IF(VLOOKUP(BK152,Fundamentus!A:U,20,FALSE)&lt;0.5,"Baixa",IF(VLOOKUP(BK152,Fundamentus!A:U,20,FALSE)&lt;1,"Moderada",IF(VLOOKUP(BK152,Fundamentus!A:U,20,FALSE)&lt;2,"Alerta",IF(VLOOKUP(BK152,Fundamentus!A:U,20,FALSE)&gt;2,"Alta","n/a"))))</f>
        <v>Baixa</v>
      </c>
      <c r="FE152" s="10"/>
    </row>
    <row r="153" spans="1:161" s="2" customFormat="1" ht="11.25" hidden="1"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8">
        <v>37.97</v>
      </c>
      <c r="BC153" s="62">
        <v>38.15</v>
      </c>
      <c r="BD153" s="62">
        <v>39.479999999999997</v>
      </c>
      <c r="BE153" s="62">
        <v>40.659999999999997</v>
      </c>
      <c r="BF153" s="62">
        <v>40.71</v>
      </c>
      <c r="BG153" s="81">
        <v>39.46</v>
      </c>
      <c r="BH153" s="62">
        <v>42.15</v>
      </c>
      <c r="BI153" s="62">
        <v>42.44</v>
      </c>
      <c r="BJ153" s="62" cm="1">
        <f t="array" aca="1" ref="BJ153" ca="1">_FV(EH153,"Preço")</f>
        <v>40.520000000000003</v>
      </c>
      <c r="BK153" s="83" t="s">
        <v>120</v>
      </c>
      <c r="BL153" s="44" cm="1">
        <f t="array" aca="1" ref="BL153" ca="1">_FV(EH153,"Média de volume",TRUE)</f>
        <v>1693200</v>
      </c>
      <c r="BM153" s="44">
        <v>1423600</v>
      </c>
      <c r="BN153" s="44" cm="1">
        <f t="array" aca="1" ref="BN153" ca="1">_FV(EH153,"Volume")</f>
        <v>716700</v>
      </c>
      <c r="BO153" s="32" cm="1">
        <f t="array" aca="1" ref="BO153" ca="1">_FV(EH153,"Beta")</f>
        <v>1.004</v>
      </c>
      <c r="BP153" s="86" cm="1">
        <f t="array" aca="1" ref="BP153" ca="1">_FV(EH153,"Variação (%)",TRUE)</f>
        <v>1.9780000000000002E-3</v>
      </c>
      <c r="BQ153" s="48"/>
      <c r="BR153" s="48"/>
      <c r="BT153" s="20" cm="1">
        <f t="array" aca="1" ref="BT153" ca="1">_FV(EH153,"Baixo")</f>
        <v>39.75</v>
      </c>
      <c r="BU153" s="20" cm="1">
        <f t="array" aca="1" ref="BU153" ca="1">_FV(EH153,"Alto")</f>
        <v>40.53</v>
      </c>
      <c r="BV153" s="32"/>
      <c r="BW153" s="73">
        <f ca="1">SQRT(22.5*(BJ153/VLOOKUP(BK153,Fundamentus!A:U,3,FALSE))*(BJ153/VLOOKUP(BK153,Fundamentus!A:U,4,FALSE)))</f>
        <v>33.489458672529857</v>
      </c>
      <c r="BY153" s="72">
        <f t="shared" ca="1" si="135"/>
        <v>-4.5240339302544647E-2</v>
      </c>
      <c r="BZ153" s="8"/>
      <c r="CA153" s="71">
        <f t="shared" si="143"/>
        <v>24.15</v>
      </c>
      <c r="CB153" s="71">
        <f t="shared" si="136"/>
        <v>42.44</v>
      </c>
      <c r="CC153" s="71">
        <f t="shared" si="144"/>
        <v>30.549508196721312</v>
      </c>
      <c r="CD153" s="17"/>
      <c r="CE153" s="43">
        <f t="shared" si="141"/>
        <v>40.770983465942379</v>
      </c>
      <c r="CF153" s="18">
        <f>FORECAST("04/07/2025", BF153:BI153, $BF$5:$BI$5)</f>
        <v>43.159999999999854</v>
      </c>
      <c r="CG153" s="43">
        <f t="shared" si="142"/>
        <v>45.54901653405733</v>
      </c>
      <c r="CI153" s="17"/>
      <c r="CJ153" s="20">
        <f>CA153-2*(CB153-CM153)</f>
        <v>11.956666666666671</v>
      </c>
      <c r="CK153" s="20">
        <f>CM153-(CB153-CA153)</f>
        <v>18.053333333333335</v>
      </c>
      <c r="CL153" s="20">
        <f>2*CM153-CB153</f>
        <v>30.24666666666667</v>
      </c>
      <c r="CM153" s="48">
        <f>(CB153+CA153+BI153)/3</f>
        <v>36.343333333333334</v>
      </c>
      <c r="CN153" s="20">
        <f>2*CM153-CA153</f>
        <v>48.536666666666669</v>
      </c>
      <c r="CO153" s="20">
        <f>CM153+(CB153-CA153)</f>
        <v>54.633333333333333</v>
      </c>
      <c r="CP153" s="20">
        <f>CB153+2*(CM153-CA153)</f>
        <v>66.826666666666668</v>
      </c>
      <c r="CQ153" s="2" cm="1">
        <f t="array" aca="1" ref="CQ153" ca="1">MAX(_xlfn._xlws.FILTER(CJ153:CP153,CJ153:CP153&lt;BJ153))</f>
        <v>36.343333333333334</v>
      </c>
      <c r="CR153" s="2" cm="1">
        <f t="array" aca="1" ref="CR153" ca="1">MIN(_xlfn._xlws.FILTER($CJ153:$CP153,$CJ153:$CP153&gt;BJ153))</f>
        <v>48.536666666666669</v>
      </c>
      <c r="CS153" s="19">
        <f t="shared" ca="1" si="145"/>
        <v>0.33550398972759798</v>
      </c>
      <c r="CT153" s="23">
        <f t="shared" ca="1" si="146"/>
        <v>-0.16775199486379899</v>
      </c>
      <c r="CU153" s="23">
        <f t="shared" ca="1" si="147"/>
        <v>-0.11183466324253266</v>
      </c>
      <c r="CV153" s="23">
        <f t="shared" ca="1" si="148"/>
        <v>-6.7100797945519597E-2</v>
      </c>
      <c r="CW153" s="23">
        <f t="shared" ca="1" si="149"/>
        <v>-3.727822108084422E-2</v>
      </c>
      <c r="CX153" s="23">
        <f t="shared" ca="1" si="150"/>
        <v>-1.9735528807505762E-2</v>
      </c>
      <c r="CY153" s="23">
        <f t="shared" ca="1" si="151"/>
        <v>-1.016678756750297E-2</v>
      </c>
      <c r="CZ153" s="23">
        <f t="shared" ca="1" si="152"/>
        <v>-5.1615998419630455E-3</v>
      </c>
      <c r="DA153" s="24">
        <f t="shared" ca="1" si="153"/>
        <v>5.1615998419630455E-3</v>
      </c>
      <c r="DB153" s="24">
        <f t="shared" ca="1" si="154"/>
        <v>1.016678756750297E-2</v>
      </c>
      <c r="DC153" s="24">
        <f t="shared" ca="1" si="155"/>
        <v>1.9735528807505762E-2</v>
      </c>
      <c r="DD153" s="24">
        <f t="shared" ca="1" si="156"/>
        <v>3.727822108084422E-2</v>
      </c>
      <c r="DE153" s="24">
        <f t="shared" ca="1" si="157"/>
        <v>6.7100797945519597E-2</v>
      </c>
      <c r="DF153" s="24">
        <f t="shared" ca="1" si="158"/>
        <v>0.11183466324253266</v>
      </c>
      <c r="DG153" s="24">
        <f t="shared" ca="1" si="159"/>
        <v>0.16775199486379899</v>
      </c>
      <c r="DI153" s="19" cm="1">
        <f t="array" aca="1" ref="DI153" ca="1">MAX(_xlfn._xlws.FILTER(CT153:DG153,CT153:DG153&lt;BP153))</f>
        <v>-5.1615998419630455E-3</v>
      </c>
      <c r="DJ153" s="19" cm="1">
        <f t="array" aca="1" ref="DJ153" ca="1">MIN(_xlfn._xlws.FILTER(CT153:DG153,CT153:DG153&gt;BP153))</f>
        <v>5.1615998419630455E-3</v>
      </c>
      <c r="DK153" s="2" cm="1">
        <f t="array" aca="1" ref="DK153" ca="1">_FV(EH153,"Fechamento anterior",TRUE)</f>
        <v>40.44</v>
      </c>
      <c r="DL153" s="36">
        <f ca="1">(BJ153-DM153)/(DN153-DM153)</f>
        <v>0.69163044671544782</v>
      </c>
      <c r="DM153" s="18">
        <f t="shared" ca="1" si="160"/>
        <v>40.231264902391011</v>
      </c>
      <c r="DN153" s="18">
        <f t="shared" ca="1" si="161"/>
        <v>40.648735097608984</v>
      </c>
      <c r="DO153" s="9"/>
      <c r="DP153" s="9"/>
      <c r="DQ153" s="95">
        <v>4.5453779900622307E-3</v>
      </c>
      <c r="DR153" s="95">
        <v>1.5965187362404726E-2</v>
      </c>
      <c r="DS153" s="95">
        <v>1.597397650266651E-2</v>
      </c>
      <c r="DT153" s="95">
        <f t="shared" ca="1" si="137"/>
        <v>1.0323199683926091E-2</v>
      </c>
      <c r="DU153" s="87">
        <f ca="1">(BJ153-CF153)/(CF153-CE153)</f>
        <v>-1.1050572326998964</v>
      </c>
      <c r="DV153" s="46"/>
      <c r="DW153" s="43">
        <f>_xlfn.STDEV.P(BF153:BI153)</f>
        <v>1.1945082670287372</v>
      </c>
      <c r="DX153" s="76">
        <f ca="1">BO153-$DT$2</f>
        <v>6.8999999999999062E-3</v>
      </c>
      <c r="DY153" s="76">
        <f ca="1">BO153-BP153*100</f>
        <v>0.80620000000000003</v>
      </c>
      <c r="DZ153" s="101"/>
      <c r="EA153" s="100">
        <v>2.2024999999999997</v>
      </c>
      <c r="EB153" s="107">
        <v>2.1999999999999997</v>
      </c>
      <c r="EC153" s="107">
        <v>0.27524000000000004</v>
      </c>
      <c r="ED153" s="98">
        <f t="shared" ca="1" si="138"/>
        <v>-0.79930000000000012</v>
      </c>
      <c r="EE153" s="66"/>
      <c r="EF153" s="66"/>
      <c r="EH153" s="2" t="e" vm="155">
        <v>#VALUE!</v>
      </c>
      <c r="EJ153" s="10" cm="1">
        <f t="array" aca="1" ref="EJ153" ca="1">_FV(EH153,"Ações em circulação",TRUE)</f>
        <v>173500000</v>
      </c>
      <c r="EK153" s="21">
        <f>VLOOKUP(BK153,Fundamentus!A:U,5,FALSE)</f>
        <v>1.9159999999999999</v>
      </c>
      <c r="EL153" s="2">
        <f ca="1">(BJ153*EJ153)/EK153</f>
        <v>3669217118.9979129</v>
      </c>
      <c r="EM153" s="20">
        <v>806662351.77453029</v>
      </c>
      <c r="EN153" s="20">
        <f t="shared" ca="1" si="139"/>
        <v>770168673.27766192</v>
      </c>
      <c r="EP153" s="19">
        <f t="shared" ca="1" si="134"/>
        <v>-4.5240339302544674E-2</v>
      </c>
      <c r="EQ153" s="40" t="str">
        <f>IF(VLOOKUP(BK153,Fundamentus!A:U,3,FALSE)&lt;15,"Bom",IF(VLOOKUP(BK153,Fundamentus!A:U,3,FALSE)&gt;15,"Ruim","n/a"))</f>
        <v>Bom</v>
      </c>
      <c r="ER153" s="36" t="str">
        <f>IF(VLOOKUP(BK153,Fundamentus!A:U,4,FALSE)&lt;1,"Baixo",IF(VLOOKUP(BK153,Fundamentus!A:U,4,FALSE)&lt;1.5,"Moderado",IF(VLOOKUP(BK153,Fundamentus!A:U,4,FALSE)&gt;1.5,"Alto","n/a")))</f>
        <v>Alto</v>
      </c>
      <c r="ES153" s="20" t="str">
        <f>IF(VLOOKUP(BK153,Fundamentus!A:U,8,FALSE)&lt;0,"Risco elevado",IF(VLOOKUP(BK153,Fundamentus!A:U,8,FALSE)&lt;1,"Saudável",IF(VLOOKUP(BK153,Fundamentus!A:U,8,FALSE)&lt;3,"Estável",IF(VLOOKUP(BK153,Fundamentus!A:U,8,FALSE)&gt;3,"Alerta","n/a"))))</f>
        <v>Estável</v>
      </c>
      <c r="ET153" s="36" t="str">
        <f t="shared" si="140"/>
        <v>Bom</v>
      </c>
      <c r="EU153" s="20" t="str">
        <f>IF(VLOOKUP(BK153,Fundamentus!A:U,12,FALSE)&lt;2,"Subvalorizada",IF(VLOOKUP(BK153,Fundamentus!A:U,12,FALSE)&lt;6,"Muita barata",IF(VLOOKUP(BK153,Fundamentus!A:U,12,FALSE)&lt;6,"Barata",IF(VLOOKUP(BK153,Fundamentus!A:U,12,FALSE)&lt;8,"Atrativa",IF(VLOOKUP(BK153,Fundamentus!A:U,12,FALSE)&gt;8,"Supervalorizada","n/a")))))</f>
        <v>Supervalorizada</v>
      </c>
      <c r="EW153" s="20" t="str">
        <f>IF(VLOOKUP(BK153,Fundamentus!A:U,17,FALSE)&lt;0.1,"Fraco retorno",IF(VLOOKUP(BK153,Fundamentus!A:U,17,FALSE)&gt;0.1,"Bom retorno","n/a"))</f>
        <v>Bom retorno</v>
      </c>
      <c r="EX153" s="20" t="str">
        <f>IF(VLOOKUP(BK153,Fundamentus!A:U,16,FALSE)&lt;0.1,"Ineficiente",IF(VLOOKUP(BK153,Fundamentus!A:U,16,FALSE)&gt;0.1,"Eficiente","n/a"))</f>
        <v>Ineficiente</v>
      </c>
      <c r="EY153" s="41" t="str">
        <f>IF(VLOOKUP(BK153,Fundamentus!A:U,16,FALSE)&lt;0.1,"Oper. Ineficiente",IF(VLOOKUP(BK153,Fundamentus!A:U,16,FALSE)&gt;0.1,"Oper.Eficiente","n/a"))</f>
        <v>Oper. Ineficiente</v>
      </c>
      <c r="EZ153" s="42">
        <f>VLOOKUP(BK153,Fundamentus!A:U,14,FALSE)</f>
        <v>0.2099</v>
      </c>
      <c r="FA153" s="20" t="str">
        <f>IF(VLOOKUP(BK153,Fundamentus!A:U,21,FALSE)&lt;0,"Negativo",IF(VLOOKUP(BK153,Fundamentus!A:U,21,FALSE)&lt;0.05,"Fraco",IF(VLOOKUP(BK153,Fundamentus!A:U,21,FALSE)&lt;0.1,"Bom",IF(VLOOKUP(BK153,Fundamentus!A:U,21,FALSE)&gt;0.1,"Muito bom","n/a"))))</f>
        <v>Muito bom</v>
      </c>
      <c r="FC153" s="37" t="str">
        <f>IF(VLOOKUP(BK153,Fundamentus!A:U,15,FALSE)&gt;1,"Bom",IF(VLOOKUP(BK153,Fundamentus!A:U,15,FALSE)&lt;1,"Ruim","n/a"))</f>
        <v>Bom</v>
      </c>
      <c r="FD153" s="20" t="str">
        <f>IF(VLOOKUP(BK153,Fundamentus!A:U,20,FALSE)&lt;0.5,"Baixa",IF(VLOOKUP(BK153,Fundamentus!A:U,20,FALSE)&lt;1,"Moderada",IF(VLOOKUP(BK153,Fundamentus!A:U,20,FALSE)&lt;2,"Alerta",IF(VLOOKUP(BK153,Fundamentus!A:U,20,FALSE)&gt;2,"Alta","n/a"))))</f>
        <v>Moderada</v>
      </c>
      <c r="FE153" s="10">
        <v>2</v>
      </c>
    </row>
    <row r="154" spans="1:161" s="2" customFormat="1" ht="11.25" hidden="1"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8">
        <v>12.06</v>
      </c>
      <c r="BC154" s="62">
        <v>12.36</v>
      </c>
      <c r="BD154" s="62">
        <v>12.04</v>
      </c>
      <c r="BE154" s="62">
        <v>12.15</v>
      </c>
      <c r="BF154" s="62">
        <v>12.59</v>
      </c>
      <c r="BG154" s="81">
        <v>13.1</v>
      </c>
      <c r="BH154" s="62">
        <v>12.9</v>
      </c>
      <c r="BI154" s="62">
        <v>13.36</v>
      </c>
      <c r="BJ154" s="62" cm="1">
        <f t="array" aca="1" ref="BJ154" ca="1">_FV(EH154,"Preço")</f>
        <v>13.31</v>
      </c>
      <c r="BK154" s="83" t="s">
        <v>150</v>
      </c>
      <c r="BL154" s="44" cm="1">
        <f t="array" aca="1" ref="BL154" ca="1">_FV(EH154,"Média de volume",TRUE)</f>
        <v>610910</v>
      </c>
      <c r="BM154" s="44">
        <v>919900</v>
      </c>
      <c r="BN154" s="44" cm="1">
        <f t="array" aca="1" ref="BN154" ca="1">_FV(EH154,"Volume")</f>
        <v>97200</v>
      </c>
      <c r="BO154" s="32" cm="1">
        <f t="array" aca="1" ref="BO154" ca="1">_FV(EH154,"Beta")</f>
        <v>0.39040000000000002</v>
      </c>
      <c r="BP154" s="86" cm="1">
        <f t="array" aca="1" ref="BP154" ca="1">_FV(EH154,"Variação (%)",TRUE)</f>
        <v>-3.7430000000000002E-3</v>
      </c>
      <c r="BQ154" s="48"/>
      <c r="BR154" s="48"/>
      <c r="BT154" s="20" cm="1">
        <f t="array" aca="1" ref="BT154" ca="1">_FV(EH154,"Baixo")</f>
        <v>13.22</v>
      </c>
      <c r="BU154" s="20" cm="1">
        <f t="array" aca="1" ref="BU154" ca="1">_FV(EH154,"Alto")</f>
        <v>13.37</v>
      </c>
      <c r="BV154" s="32"/>
      <c r="BW154" s="73">
        <f ca="1">SQRT(22.5*(BJ154/VLOOKUP(BK154,Fundamentus!A:U,3,FALSE))*(BJ154/VLOOKUP(BK154,Fundamentus!A:U,4,FALSE)))</f>
        <v>30.800064513100263</v>
      </c>
      <c r="BY154" s="72">
        <f t="shared" ca="1" si="135"/>
        <v>-3.7425149700598005E-3</v>
      </c>
      <c r="BZ154" s="8"/>
      <c r="CA154" s="71">
        <f t="shared" si="143"/>
        <v>9.93</v>
      </c>
      <c r="CB154" s="71">
        <f t="shared" si="136"/>
        <v>13.63</v>
      </c>
      <c r="CC154" s="71">
        <f t="shared" si="144"/>
        <v>11.939508196721311</v>
      </c>
      <c r="CD154" s="17"/>
      <c r="CE154" s="43">
        <f t="shared" si="141"/>
        <v>12.951905869325664</v>
      </c>
      <c r="CF154" s="18">
        <f>FORECAST("04/07/2025", BF154:BI154, $BF$5:$BI$5)</f>
        <v>13.5150000000001</v>
      </c>
      <c r="CG154" s="43">
        <f t="shared" si="142"/>
        <v>14.078094130674536</v>
      </c>
      <c r="CI154" s="17"/>
      <c r="CJ154" s="20">
        <f>CA154-2*(CB154-CM154)</f>
        <v>7.2833333333333314</v>
      </c>
      <c r="CK154" s="20">
        <f>CM154-(CB154-CA154)</f>
        <v>8.6066666666666656</v>
      </c>
      <c r="CL154" s="20">
        <f>2*CM154-CB154</f>
        <v>10.983333333333333</v>
      </c>
      <c r="CM154" s="48">
        <f>(CB154+CA154+BI154)/3</f>
        <v>12.306666666666667</v>
      </c>
      <c r="CN154" s="20">
        <f>2*CM154-CA154</f>
        <v>14.683333333333334</v>
      </c>
      <c r="CO154" s="20">
        <f>CM154+(CB154-CA154)</f>
        <v>16.006666666666668</v>
      </c>
      <c r="CP154" s="20">
        <f>CB154+2*(CM154-CA154)</f>
        <v>18.383333333333333</v>
      </c>
      <c r="CQ154" s="2" cm="1">
        <f t="array" aca="1" ref="CQ154" ca="1">MAX(_xlfn._xlws.FILTER(CJ154:CP154,CJ154:CP154&lt;BJ154))</f>
        <v>12.306666666666667</v>
      </c>
      <c r="CR154" s="2" cm="1">
        <f t="array" aca="1" ref="CR154" ca="1">MIN(_xlfn._xlws.FILTER($CJ154:$CP154,$CJ154:$CP154&gt;BJ154))</f>
        <v>14.683333333333334</v>
      </c>
      <c r="CS154" s="19">
        <f t="shared" ca="1" si="145"/>
        <v>0.1931202600216686</v>
      </c>
      <c r="CT154" s="23">
        <f t="shared" ca="1" si="146"/>
        <v>-9.65601300108343E-2</v>
      </c>
      <c r="CU154" s="23">
        <f t="shared" ca="1" si="147"/>
        <v>-6.4373420007222862E-2</v>
      </c>
      <c r="CV154" s="23">
        <f t="shared" ca="1" si="148"/>
        <v>-3.862405200433372E-2</v>
      </c>
      <c r="CW154" s="23">
        <f t="shared" ca="1" si="149"/>
        <v>-2.1457806669074288E-2</v>
      </c>
      <c r="CX154" s="23">
        <f t="shared" ca="1" si="150"/>
        <v>-1.1360015295392271E-2</v>
      </c>
      <c r="CY154" s="23">
        <f t="shared" ca="1" si="151"/>
        <v>-5.8521290915657153E-3</v>
      </c>
      <c r="CZ154" s="23">
        <f t="shared" ca="1" si="152"/>
        <v>-2.9710809234102862E-3</v>
      </c>
      <c r="DA154" s="24">
        <f t="shared" ca="1" si="153"/>
        <v>2.9710809234102862E-3</v>
      </c>
      <c r="DB154" s="24">
        <f t="shared" ca="1" si="154"/>
        <v>5.8521290915657153E-3</v>
      </c>
      <c r="DC154" s="24">
        <f t="shared" ca="1" si="155"/>
        <v>1.1360015295392271E-2</v>
      </c>
      <c r="DD154" s="24">
        <f t="shared" ca="1" si="156"/>
        <v>2.1457806669074288E-2</v>
      </c>
      <c r="DE154" s="24">
        <f t="shared" ca="1" si="157"/>
        <v>3.862405200433372E-2</v>
      </c>
      <c r="DF154" s="24">
        <f t="shared" ca="1" si="158"/>
        <v>6.4373420007222862E-2</v>
      </c>
      <c r="DG154" s="24">
        <f t="shared" ca="1" si="159"/>
        <v>9.65601300108343E-2</v>
      </c>
      <c r="DI154" s="19" cm="1">
        <f t="array" aca="1" ref="DI154" ca="1">MAX(_xlfn._xlws.FILTER(CT154:DG154,CT154:DG154&lt;BP154))</f>
        <v>-5.8521290915657153E-3</v>
      </c>
      <c r="DJ154" s="19" cm="1">
        <f t="array" aca="1" ref="DJ154" ca="1">MIN(_xlfn._xlws.FILTER(CT154:DG154,CT154:DG154&gt;BP154))</f>
        <v>-2.9710809234102862E-3</v>
      </c>
      <c r="DK154" s="2" cm="1">
        <f t="array" aca="1" ref="DK154" ca="1">_FV(EH154,"Fechamento anterior",TRUE)</f>
        <v>13.36</v>
      </c>
      <c r="DL154" s="36">
        <f ca="1">(BJ154-DM154)/(DN154-DM154)</f>
        <v>0.73223840712686505</v>
      </c>
      <c r="DM154" s="18">
        <f t="shared" ca="1" si="160"/>
        <v>13.281815555336681</v>
      </c>
      <c r="DN154" s="18">
        <f t="shared" ca="1" si="161"/>
        <v>13.320306358863238</v>
      </c>
      <c r="DO154" s="9"/>
      <c r="DP154" s="9"/>
      <c r="DQ154" s="94">
        <v>1.1872051785283902E-2</v>
      </c>
      <c r="DR154" s="94">
        <v>5.2939909499263695E-3</v>
      </c>
      <c r="DS154" s="94">
        <v>9.7985730025780052E-3</v>
      </c>
      <c r="DT154" s="94">
        <f t="shared" ca="1" si="137"/>
        <v>2.881048168155429E-3</v>
      </c>
      <c r="DU154" s="87">
        <f ca="1">(BJ154-CF154)/(CF154-CE154)</f>
        <v>-0.36405991260211573</v>
      </c>
      <c r="DV154" s="46"/>
      <c r="DW154" s="43">
        <f>_xlfn.STDEV.P(BF154:BI154)</f>
        <v>0.28154706533721835</v>
      </c>
      <c r="DX154" s="76">
        <f ca="1">BO154-$DT$2</f>
        <v>-0.60670000000000002</v>
      </c>
      <c r="DY154" s="76">
        <f ca="1">BO154-BP154*100</f>
        <v>0.76470000000000005</v>
      </c>
      <c r="DZ154" s="101"/>
      <c r="EA154" s="100">
        <v>-1.2791000000000001</v>
      </c>
      <c r="EB154" s="107">
        <v>-0.28479999999999994</v>
      </c>
      <c r="EC154" s="107">
        <v>4.5559000000000003</v>
      </c>
      <c r="ED154" s="98">
        <f t="shared" ca="1" si="138"/>
        <v>-1.3714</v>
      </c>
      <c r="EE154" s="66"/>
      <c r="EF154" s="66"/>
      <c r="EH154" s="2" t="e" vm="156">
        <v>#VALUE!</v>
      </c>
      <c r="EJ154" s="10" cm="1">
        <f t="array" aca="1" ref="EJ154" ca="1">_FV(EH154,"Ações em circulação",TRUE)</f>
        <v>153719600</v>
      </c>
      <c r="EK154" s="21">
        <f>VLOOKUP(BK154,Fundamentus!A:U,5,FALSE)</f>
        <v>0.128</v>
      </c>
      <c r="EL154" s="2">
        <f ca="1">(BJ154*EJ154)/EK154</f>
        <v>15984436531.25</v>
      </c>
      <c r="EM154" s="20">
        <v>341747493.22499996</v>
      </c>
      <c r="EN154" s="20">
        <f t="shared" ca="1" si="139"/>
        <v>340468498.11562496</v>
      </c>
      <c r="EP154" s="19">
        <f t="shared" ca="1" si="134"/>
        <v>-3.7425149700598404E-3</v>
      </c>
      <c r="EQ154" s="40" t="str">
        <f>IF(VLOOKUP(BK154,Fundamentus!A:U,3,FALSE)&lt;15,"Bom",IF(VLOOKUP(BK154,Fundamentus!A:U,3,FALSE)&gt;15,"Ruim","n/a"))</f>
        <v>Bom</v>
      </c>
      <c r="ER154" s="36" t="str">
        <f>IF(VLOOKUP(BK154,Fundamentus!A:U,4,FALSE)&lt;1,"Baixo",IF(VLOOKUP(BK154,Fundamentus!A:U,4,FALSE)&lt;1.5,"Moderado",IF(VLOOKUP(BK154,Fundamentus!A:U,4,FALSE)&gt;1.5,"Alto","n/a")))</f>
        <v>Baixo</v>
      </c>
      <c r="ES154" s="20" t="str">
        <f>IF(VLOOKUP(BK154,Fundamentus!A:U,8,FALSE)&lt;0,"Risco elevado",IF(VLOOKUP(BK154,Fundamentus!A:U,8,FALSE)&lt;1,"Saudável",IF(VLOOKUP(BK154,Fundamentus!A:U,8,FALSE)&lt;3,"Estável",IF(VLOOKUP(BK154,Fundamentus!A:U,8,FALSE)&gt;3,"Alerta","n/a"))))</f>
        <v>Saudável</v>
      </c>
      <c r="ET154" s="36" t="str">
        <f t="shared" si="140"/>
        <v>Ruim</v>
      </c>
      <c r="EU154" s="20" t="str">
        <f>IF(VLOOKUP(BK154,Fundamentus!A:U,12,FALSE)&lt;2,"Subvalorizada",IF(VLOOKUP(BK154,Fundamentus!A:U,12,FALSE)&lt;6,"Muita barata",IF(VLOOKUP(BK154,Fundamentus!A:U,12,FALSE)&lt;6,"Barata",IF(VLOOKUP(BK154,Fundamentus!A:U,12,FALSE)&lt;8,"Atrativa",IF(VLOOKUP(BK154,Fundamentus!A:U,12,FALSE)&gt;8,"Supervalorizada","n/a")))))</f>
        <v>Muita barata</v>
      </c>
      <c r="EW154" s="20" t="str">
        <f>IF(VLOOKUP(BK154,Fundamentus!A:U,17,FALSE)&lt;0.1,"Fraco retorno",IF(VLOOKUP(BK154,Fundamentus!A:U,17,FALSE)&gt;0.1,"Bom retorno","n/a"))</f>
        <v>Fraco retorno</v>
      </c>
      <c r="EX154" s="20" t="str">
        <f>IF(VLOOKUP(BK154,Fundamentus!A:U,16,FALSE)&lt;0.1,"Ineficiente",IF(VLOOKUP(BK154,Fundamentus!A:U,16,FALSE)&gt;0.1,"Eficiente","n/a"))</f>
        <v>Ineficiente</v>
      </c>
      <c r="EY154" s="41" t="str">
        <f>IF(VLOOKUP(BK154,Fundamentus!A:U,16,FALSE)&lt;0.1,"Oper. Ineficiente",IF(VLOOKUP(BK154,Fundamentus!A:U,16,FALSE)&gt;0.1,"Oper.Eficiente","n/a"))</f>
        <v>Oper. Ineficiente</v>
      </c>
      <c r="EZ154" s="42">
        <f>VLOOKUP(BK154,Fundamentus!A:U,14,FALSE)</f>
        <v>2.1299999999999999E-2</v>
      </c>
      <c r="FA154" s="20" t="str">
        <f>IF(VLOOKUP(BK154,Fundamentus!A:U,21,FALSE)&lt;0,"Negativo",IF(VLOOKUP(BK154,Fundamentus!A:U,21,FALSE)&lt;0.05,"Fraco",IF(VLOOKUP(BK154,Fundamentus!A:U,21,FALSE)&lt;0.1,"Bom",IF(VLOOKUP(BK154,Fundamentus!A:U,21,FALSE)&gt;0.1,"Muito bom","n/a"))))</f>
        <v>Bom</v>
      </c>
      <c r="FC154" s="37" t="str">
        <f>IF(VLOOKUP(BK154,Fundamentus!A:U,15,FALSE)&gt;1,"Bom",IF(VLOOKUP(BK154,Fundamentus!A:U,15,FALSE)&lt;1,"Ruim","n/a"))</f>
        <v>Bom</v>
      </c>
      <c r="FD154" s="20" t="str">
        <f>IF(VLOOKUP(BK154,Fundamentus!A:U,20,FALSE)&lt;0.5,"Baixa",IF(VLOOKUP(BK154,Fundamentus!A:U,20,FALSE)&lt;1,"Moderada",IF(VLOOKUP(BK154,Fundamentus!A:U,20,FALSE)&lt;2,"Alerta",IF(VLOOKUP(BK154,Fundamentus!A:U,20,FALSE)&gt;2,"Alta","n/a"))))</f>
        <v>Alerta</v>
      </c>
      <c r="FE154" s="10"/>
    </row>
    <row r="155" spans="1:161" s="2" customFormat="1" ht="11.25" hidden="1"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8">
        <v>33.700000000000003</v>
      </c>
      <c r="BC155" s="62">
        <v>35.229999999999997</v>
      </c>
      <c r="BD155" s="62">
        <v>36.9</v>
      </c>
      <c r="BE155" s="62">
        <v>37.78</v>
      </c>
      <c r="BF155" s="62">
        <v>35.840000000000003</v>
      </c>
      <c r="BG155" s="81">
        <v>35.1</v>
      </c>
      <c r="BH155" s="62">
        <v>34.799999999999997</v>
      </c>
      <c r="BI155" s="62">
        <v>34.9</v>
      </c>
      <c r="BJ155" s="62" cm="1">
        <f t="array" aca="1" ref="BJ155" ca="1">_FV(EH155,"Preço")</f>
        <v>35.49</v>
      </c>
      <c r="BK155" s="83" t="s">
        <v>176</v>
      </c>
      <c r="BL155" s="44" cm="1">
        <f t="array" aca="1" ref="BL155" ca="1">_FV(EH155,"Média de volume",TRUE)</f>
        <v>4844290</v>
      </c>
      <c r="BM155" s="44">
        <v>4337200</v>
      </c>
      <c r="BN155" s="44" cm="1">
        <f t="array" aca="1" ref="BN155" ca="1">_FV(EH155,"Volume")</f>
        <v>1699400</v>
      </c>
      <c r="BO155" s="32" cm="1">
        <f t="array" aca="1" ref="BO155" ca="1">_FV(EH155,"Beta")</f>
        <v>1.5251999999999999</v>
      </c>
      <c r="BP155" s="86" cm="1">
        <f t="array" aca="1" ref="BP155" ca="1">_FV(EH155,"Variação (%)",TRUE)</f>
        <v>1.6905E-2</v>
      </c>
      <c r="BQ155" s="48"/>
      <c r="BR155" s="48"/>
      <c r="BT155" s="20" cm="1">
        <f t="array" aca="1" ref="BT155" ca="1">_FV(EH155,"Baixo")</f>
        <v>34.770000000000003</v>
      </c>
      <c r="BU155" s="20" cm="1">
        <f t="array" aca="1" ref="BU155" ca="1">_FV(EH155,"Alto")</f>
        <v>35.54</v>
      </c>
      <c r="BV155" s="32"/>
      <c r="BW155" s="73">
        <f ca="1">SQRT(22.5*(BJ155/VLOOKUP(BK155,Fundamentus!A:U,3,FALSE))*(BJ155/VLOOKUP(BK155,Fundamentus!A:U,4,FALSE)))</f>
        <v>21.180304289046767</v>
      </c>
      <c r="BY155" s="72">
        <f t="shared" ca="1" si="135"/>
        <v>1.6905444126074597E-2</v>
      </c>
      <c r="BZ155" s="8"/>
      <c r="CA155" s="71">
        <f t="shared" si="143"/>
        <v>25.15</v>
      </c>
      <c r="CB155" s="71">
        <f t="shared" si="136"/>
        <v>37.78</v>
      </c>
      <c r="CC155" s="71">
        <f t="shared" si="144"/>
        <v>29.78516393442623</v>
      </c>
      <c r="CD155" s="17"/>
      <c r="CE155" s="43">
        <f t="shared" si="141"/>
        <v>33.565629077140009</v>
      </c>
      <c r="CF155" s="18">
        <f>FORECAST("04/07/2025", BF155:BI155, $BF$5:$BI$5)</f>
        <v>34.380000000000109</v>
      </c>
      <c r="CG155" s="43">
        <f t="shared" si="142"/>
        <v>35.194370922860209</v>
      </c>
      <c r="CI155" s="17"/>
      <c r="CJ155" s="20">
        <f>CA155-2*(CB155-CM155)</f>
        <v>14.809999999999995</v>
      </c>
      <c r="CK155" s="20">
        <f>CM155-(CB155-CA155)</f>
        <v>19.979999999999997</v>
      </c>
      <c r="CL155" s="20">
        <f>2*CM155-CB155</f>
        <v>27.439999999999998</v>
      </c>
      <c r="CM155" s="48">
        <f>(CB155+CA155+BI155)/3</f>
        <v>32.61</v>
      </c>
      <c r="CN155" s="20">
        <f>2*CM155-CA155</f>
        <v>40.07</v>
      </c>
      <c r="CO155" s="20">
        <f>CM155+(CB155-CA155)</f>
        <v>45.24</v>
      </c>
      <c r="CP155" s="20">
        <f>CB155+2*(CM155-CA155)</f>
        <v>52.7</v>
      </c>
      <c r="CQ155" s="2" cm="1">
        <f t="array" aca="1" ref="CQ155" ca="1">MAX(_xlfn._xlws.FILTER(CJ155:CP155,CJ155:CP155&lt;BJ155))</f>
        <v>32.61</v>
      </c>
      <c r="CR155" s="2" cm="1">
        <f t="array" aca="1" ref="CR155" ca="1">MIN(_xlfn._xlws.FILTER($CJ155:$CP155,$CJ155:$CP155&gt;BJ155))</f>
        <v>40.07</v>
      </c>
      <c r="CS155" s="19">
        <f t="shared" ca="1" si="145"/>
        <v>0.22876418276602273</v>
      </c>
      <c r="CT155" s="23">
        <f t="shared" ca="1" si="146"/>
        <v>-0.11438209138301136</v>
      </c>
      <c r="CU155" s="23">
        <f t="shared" ca="1" si="147"/>
        <v>-7.6254727588674243E-2</v>
      </c>
      <c r="CV155" s="23">
        <f t="shared" ca="1" si="148"/>
        <v>-4.5752836553204543E-2</v>
      </c>
      <c r="CW155" s="23">
        <f t="shared" ca="1" si="149"/>
        <v>-2.5418242529558082E-2</v>
      </c>
      <c r="CX155" s="23">
        <f t="shared" ca="1" si="150"/>
        <v>-1.3456716633295455E-2</v>
      </c>
      <c r="CY155" s="23">
        <f t="shared" ca="1" si="151"/>
        <v>-6.9322479626067494E-3</v>
      </c>
      <c r="CZ155" s="23">
        <f t="shared" ca="1" si="152"/>
        <v>-3.519448965631119E-3</v>
      </c>
      <c r="DA155" s="24">
        <f t="shared" ca="1" si="153"/>
        <v>3.519448965631119E-3</v>
      </c>
      <c r="DB155" s="24">
        <f t="shared" ca="1" si="154"/>
        <v>6.9322479626067494E-3</v>
      </c>
      <c r="DC155" s="24">
        <f t="shared" ca="1" si="155"/>
        <v>1.3456716633295455E-2</v>
      </c>
      <c r="DD155" s="24">
        <f t="shared" ca="1" si="156"/>
        <v>2.5418242529558082E-2</v>
      </c>
      <c r="DE155" s="24">
        <f t="shared" ca="1" si="157"/>
        <v>4.5752836553204543E-2</v>
      </c>
      <c r="DF155" s="24">
        <f t="shared" ca="1" si="158"/>
        <v>7.6254727588674243E-2</v>
      </c>
      <c r="DG155" s="24">
        <f t="shared" ca="1" si="159"/>
        <v>0.11438209138301136</v>
      </c>
      <c r="DI155" s="19" cm="1">
        <f t="array" aca="1" ref="DI155" ca="1">MAX(_xlfn._xlws.FILTER(CT155:DG155,CT155:DG155&lt;BP155))</f>
        <v>1.3456716633295455E-2</v>
      </c>
      <c r="DJ155" s="19" cm="1">
        <f t="array" aca="1" ref="DJ155" ca="1">MIN(_xlfn._xlws.FILTER(CT155:DG155,CT155:DG155&gt;BP155))</f>
        <v>2.5418242529558082E-2</v>
      </c>
      <c r="DK155" s="2" cm="1">
        <f t="array" aca="1" ref="DK155" ca="1">_FV(EH155,"Fechamento anterior",TRUE)</f>
        <v>34.9</v>
      </c>
      <c r="DL155" s="36">
        <f ca="1">(BJ155-DM155)/(DN155-DM155)</f>
        <v>0.28831835692941743</v>
      </c>
      <c r="DM155" s="18">
        <f t="shared" ca="1" si="160"/>
        <v>35.36963941050201</v>
      </c>
      <c r="DN155" s="18">
        <f t="shared" ca="1" si="161"/>
        <v>35.787096664281577</v>
      </c>
      <c r="DO155" s="9"/>
      <c r="DP155" s="9"/>
      <c r="DQ155" s="95">
        <v>6.4661083515141233E-3</v>
      </c>
      <c r="DR155" s="95">
        <v>6.4661083515141233E-3</v>
      </c>
      <c r="DS155" s="95">
        <v>3.4362726599796918E-3</v>
      </c>
      <c r="DT155" s="95">
        <f t="shared" ca="1" si="137"/>
        <v>1.1961525896262627E-2</v>
      </c>
      <c r="DU155" s="87">
        <f ca="1">(BJ155-CF155)/(CF155-CE155)</f>
        <v>1.3630152659448269</v>
      </c>
      <c r="DV155" s="46"/>
      <c r="DW155" s="43">
        <f>_xlfn.STDEV.P(BF155:BI155)</f>
        <v>0.40718546143004891</v>
      </c>
      <c r="DX155" s="76">
        <f ca="1">BO155-$DT$2</f>
        <v>0.52809999999999979</v>
      </c>
      <c r="DY155" s="76">
        <f ca="1">BO155-BP155*100</f>
        <v>-0.1653</v>
      </c>
      <c r="DZ155" s="101"/>
      <c r="EA155" s="100">
        <v>0.69469999999999987</v>
      </c>
      <c r="EB155" s="107">
        <v>-0.70230000000000015</v>
      </c>
      <c r="EC155" s="107">
        <v>-1.1758</v>
      </c>
      <c r="ED155" s="98">
        <f t="shared" ca="1" si="138"/>
        <v>0.69339999999999979</v>
      </c>
      <c r="EE155" s="66"/>
      <c r="EF155" s="66"/>
      <c r="EH155" s="2" t="e" vm="157">
        <v>#VALUE!</v>
      </c>
      <c r="EJ155" s="10" cm="1">
        <f t="array" aca="1" ref="EJ155" ca="1">_FV(EH155,"Ações em circulação",TRUE)</f>
        <v>2289292000</v>
      </c>
      <c r="EK155" s="21">
        <f>VLOOKUP(BK155,Fundamentus!A:U,5,FALSE)</f>
        <v>1.5649999999999999</v>
      </c>
      <c r="EL155" s="2">
        <f ca="1">(BJ155*EJ155)/EK155</f>
        <v>51914998773.162941</v>
      </c>
      <c r="EM155" s="20">
        <v>4140312577.5591059</v>
      </c>
      <c r="EN155" s="20">
        <f t="shared" ca="1" si="139"/>
        <v>4210306400.5035148</v>
      </c>
      <c r="EP155" s="19">
        <f t="shared" ca="1" si="134"/>
        <v>1.6905444126074531E-2</v>
      </c>
      <c r="EQ155" s="40" t="str">
        <f>IF(VLOOKUP(BK155,Fundamentus!A:U,3,FALSE)&lt;15,"Bom",IF(VLOOKUP(BK155,Fundamentus!A:U,3,FALSE)&gt;15,"Ruim","n/a"))</f>
        <v>Ruim</v>
      </c>
      <c r="ER155" s="36" t="str">
        <f>IF(VLOOKUP(BK155,Fundamentus!A:U,4,FALSE)&lt;1,"Baixo",IF(VLOOKUP(BK155,Fundamentus!A:U,4,FALSE)&lt;1.5,"Moderado",IF(VLOOKUP(BK155,Fundamentus!A:U,4,FALSE)&gt;1.5,"Alto","n/a")))</f>
        <v>Alto</v>
      </c>
      <c r="ES155" s="20" t="str">
        <f>IF(VLOOKUP(BK155,Fundamentus!A:U,8,FALSE)&lt;0,"Risco elevado",IF(VLOOKUP(BK155,Fundamentus!A:U,8,FALSE)&lt;1,"Saudável",IF(VLOOKUP(BK155,Fundamentus!A:U,8,FALSE)&lt;3,"Estável",IF(VLOOKUP(BK155,Fundamentus!A:U,8,FALSE)&gt;3,"Alerta","n/a"))))</f>
        <v>Estável</v>
      </c>
      <c r="ET155" s="36" t="str">
        <f t="shared" si="140"/>
        <v>Bom</v>
      </c>
      <c r="EU155" s="20" t="str">
        <f>IF(VLOOKUP(BK155,Fundamentus!A:U,12,FALSE)&lt;2,"Subvalorizada",IF(VLOOKUP(BK155,Fundamentus!A:U,12,FALSE)&lt;6,"Muita barata",IF(VLOOKUP(BK155,Fundamentus!A:U,12,FALSE)&lt;6,"Barata",IF(VLOOKUP(BK155,Fundamentus!A:U,12,FALSE)&lt;8,"Atrativa",IF(VLOOKUP(BK155,Fundamentus!A:U,12,FALSE)&gt;8,"Supervalorizada","n/a")))))</f>
        <v>Supervalorizada</v>
      </c>
      <c r="EW155" s="20" t="str">
        <f>IF(VLOOKUP(BK155,Fundamentus!A:U,17,FALSE)&lt;0.1,"Fraco retorno",IF(VLOOKUP(BK155,Fundamentus!A:U,17,FALSE)&gt;0.1,"Bom retorno","n/a"))</f>
        <v>Bom retorno</v>
      </c>
      <c r="EX155" s="20" t="str">
        <f>IF(VLOOKUP(BK155,Fundamentus!A:U,16,FALSE)&lt;0.1,"Ineficiente",IF(VLOOKUP(BK155,Fundamentus!A:U,16,FALSE)&gt;0.1,"Eficiente","n/a"))</f>
        <v>Eficiente</v>
      </c>
      <c r="EY155" s="41" t="str">
        <f>IF(VLOOKUP(BK155,Fundamentus!A:U,16,FALSE)&lt;0.1,"Oper. Ineficiente",IF(VLOOKUP(BK155,Fundamentus!A:U,16,FALSE)&gt;0.1,"Oper.Eficiente","n/a"))</f>
        <v>Oper.Eficiente</v>
      </c>
      <c r="EZ155" s="42">
        <f>VLOOKUP(BK155,Fundamentus!A:U,14,FALSE)</f>
        <v>8.1100000000000005E-2</v>
      </c>
      <c r="FA155" s="20" t="str">
        <f>IF(VLOOKUP(BK155,Fundamentus!A:U,21,FALSE)&lt;0,"Negativo",IF(VLOOKUP(BK155,Fundamentus!A:U,21,FALSE)&lt;0.05,"Fraco",IF(VLOOKUP(BK155,Fundamentus!A:U,21,FALSE)&lt;0.1,"Bom",IF(VLOOKUP(BK155,Fundamentus!A:U,21,FALSE)&gt;0.1,"Muito bom","n/a"))))</f>
        <v>Muito bom</v>
      </c>
      <c r="FC155" s="37" t="str">
        <f>IF(VLOOKUP(BK155,Fundamentus!A:U,15,FALSE)&gt;1,"Bom",IF(VLOOKUP(BK155,Fundamentus!A:U,15,FALSE)&lt;1,"Ruim","n/a"))</f>
        <v>Bom</v>
      </c>
      <c r="FD155" s="20" t="str">
        <f>IF(VLOOKUP(BK155,Fundamentus!A:U,20,FALSE)&lt;0.5,"Baixa",IF(VLOOKUP(BK155,Fundamentus!A:U,20,FALSE)&lt;1,"Moderada",IF(VLOOKUP(BK155,Fundamentus!A:U,20,FALSE)&lt;2,"Alerta",IF(VLOOKUP(BK155,Fundamentus!A:U,20,FALSE)&gt;2,"Alta","n/a"))))</f>
        <v>Alerta</v>
      </c>
      <c r="FE155" s="10">
        <v>1</v>
      </c>
    </row>
    <row r="156" spans="1:161" s="2" customFormat="1" ht="11.25" hidden="1"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8">
        <v>27.91</v>
      </c>
      <c r="BC156" s="62">
        <v>28.15</v>
      </c>
      <c r="BD156" s="62">
        <v>27.66</v>
      </c>
      <c r="BE156" s="62">
        <v>28.66</v>
      </c>
      <c r="BF156" s="62">
        <v>28.78</v>
      </c>
      <c r="BG156" s="81">
        <v>29.79</v>
      </c>
      <c r="BH156" s="62">
        <v>30.28</v>
      </c>
      <c r="BI156" s="62">
        <v>30.4</v>
      </c>
      <c r="BJ156" s="62" cm="1">
        <f t="array" aca="1" ref="BJ156" ca="1">_FV(EH156,"Preço")</f>
        <v>31.46</v>
      </c>
      <c r="BK156" s="83" t="s">
        <v>152</v>
      </c>
      <c r="BL156" s="44" cm="1">
        <f t="array" aca="1" ref="BL156" ca="1">_FV(EH156,"Média de volume",TRUE)</f>
        <v>4936560</v>
      </c>
      <c r="BM156" s="44">
        <v>3061300</v>
      </c>
      <c r="BN156" s="44" cm="1">
        <f t="array" aca="1" ref="BN156" ca="1">_FV(EH156,"Volume")</f>
        <v>2676400</v>
      </c>
      <c r="BO156" s="32" cm="1">
        <f t="array" aca="1" ref="BO156" ca="1">_FV(EH156,"Beta")</f>
        <v>0.58309999999999995</v>
      </c>
      <c r="BP156" s="86" cm="1">
        <f t="array" aca="1" ref="BP156" ca="1">_FV(EH156,"Variação (%)",TRUE)</f>
        <v>3.4868000000000003E-2</v>
      </c>
      <c r="BQ156" s="48"/>
      <c r="BR156" s="48"/>
      <c r="BT156" s="20" cm="1">
        <f t="array" aca="1" ref="BT156" ca="1">_FV(EH156,"Baixo")</f>
        <v>30.32</v>
      </c>
      <c r="BU156" s="20" cm="1">
        <f t="array" aca="1" ref="BU156" ca="1">_FV(EH156,"Alto")</f>
        <v>31.5</v>
      </c>
      <c r="BV156" s="32"/>
      <c r="BW156" s="73">
        <f ca="1">SQRT(22.5*(BJ156/VLOOKUP(BK156,Fundamentus!A:U,3,FALSE))*(BJ156/VLOOKUP(BK156,Fundamentus!A:U,4,FALSE)))</f>
        <v>30.257274257649936</v>
      </c>
      <c r="BY156" s="72">
        <f t="shared" ca="1" si="135"/>
        <v>3.4868421052631653E-2</v>
      </c>
      <c r="BZ156" s="8"/>
      <c r="CA156" s="71">
        <f t="shared" si="143"/>
        <v>26.41</v>
      </c>
      <c r="CB156" s="71">
        <f t="shared" si="136"/>
        <v>55.6</v>
      </c>
      <c r="CC156" s="71">
        <f t="shared" si="144"/>
        <v>46.171475409836056</v>
      </c>
      <c r="CD156" s="17"/>
      <c r="CE156" s="43">
        <f t="shared" si="141"/>
        <v>29.873177772749955</v>
      </c>
      <c r="CF156" s="18">
        <f>FORECAST("04/07/2025", BF156:BI156, $BF$5:$BI$5)</f>
        <v>31.150000000000091</v>
      </c>
      <c r="CG156" s="43">
        <f t="shared" si="142"/>
        <v>32.426822227250227</v>
      </c>
      <c r="CI156" s="17"/>
      <c r="CJ156" s="20">
        <f>CA156-2*(CB156-CM156)</f>
        <v>-9.850000000000005</v>
      </c>
      <c r="CK156" s="20">
        <f>CM156-(CB156-CA156)</f>
        <v>8.2799999999999976</v>
      </c>
      <c r="CL156" s="20">
        <f>2*CM156-CB156</f>
        <v>19.339999999999996</v>
      </c>
      <c r="CM156" s="48">
        <f>(CB156+CA156+BI156)/3</f>
        <v>37.47</v>
      </c>
      <c r="CN156" s="20">
        <f>2*CM156-CA156</f>
        <v>48.53</v>
      </c>
      <c r="CO156" s="20">
        <f>CM156+(CB156-CA156)</f>
        <v>66.66</v>
      </c>
      <c r="CP156" s="20">
        <f>CB156+2*(CM156-CA156)</f>
        <v>77.72</v>
      </c>
      <c r="CQ156" s="2" cm="1">
        <f t="array" aca="1" ref="CQ156" ca="1">MAX(_xlfn._xlws.FILTER(CJ156:CP156,CJ156:CP156&lt;BJ156))</f>
        <v>19.339999999999996</v>
      </c>
      <c r="CR156" s="2" cm="1">
        <f t="array" aca="1" ref="CR156" ca="1">MIN(_xlfn._xlws.FILTER($CJ156:$CP156,$CJ156:$CP156&gt;BJ156))</f>
        <v>37.47</v>
      </c>
      <c r="CS156" s="19">
        <f t="shared" ca="1" si="145"/>
        <v>0.93743536711478836</v>
      </c>
      <c r="CT156" s="23">
        <f t="shared" ca="1" si="146"/>
        <v>-0.46871768355739418</v>
      </c>
      <c r="CU156" s="23">
        <f t="shared" ca="1" si="147"/>
        <v>-0.31247845570492944</v>
      </c>
      <c r="CV156" s="23">
        <f t="shared" ca="1" si="148"/>
        <v>-0.18748707342295767</v>
      </c>
      <c r="CW156" s="23">
        <f t="shared" ca="1" si="149"/>
        <v>-0.10415948523497648</v>
      </c>
      <c r="CX156" s="23">
        <f t="shared" ca="1" si="150"/>
        <v>-5.5143256889105201E-2</v>
      </c>
      <c r="CY156" s="23">
        <f t="shared" ca="1" si="151"/>
        <v>-2.8407132336811768E-2</v>
      </c>
      <c r="CZ156" s="23">
        <f t="shared" ca="1" si="152"/>
        <v>-1.4422082570996744E-2</v>
      </c>
      <c r="DA156" s="24">
        <f t="shared" ca="1" si="153"/>
        <v>1.4422082570996744E-2</v>
      </c>
      <c r="DB156" s="24">
        <f t="shared" ca="1" si="154"/>
        <v>2.8407132336811768E-2</v>
      </c>
      <c r="DC156" s="24">
        <f t="shared" ca="1" si="155"/>
        <v>5.5143256889105201E-2</v>
      </c>
      <c r="DD156" s="24">
        <f t="shared" ca="1" si="156"/>
        <v>0.10415948523497648</v>
      </c>
      <c r="DE156" s="24">
        <f t="shared" ca="1" si="157"/>
        <v>0.18748707342295767</v>
      </c>
      <c r="DF156" s="24">
        <f t="shared" ca="1" si="158"/>
        <v>0.31247845570492944</v>
      </c>
      <c r="DG156" s="24">
        <f t="shared" ca="1" si="159"/>
        <v>0.46871768355739418</v>
      </c>
      <c r="DI156" s="19" cm="1">
        <f t="array" aca="1" ref="DI156" ca="1">MAX(_xlfn._xlws.FILTER(CT156:DG156,CT156:DG156&lt;BP156))</f>
        <v>2.8407132336811768E-2</v>
      </c>
      <c r="DJ156" s="19" cm="1">
        <f t="array" aca="1" ref="DJ156" ca="1">MIN(_xlfn._xlws.FILTER(CT156:DG156,CT156:DG156&gt;BP156))</f>
        <v>5.5143256889105201E-2</v>
      </c>
      <c r="DK156" s="2" cm="1">
        <f t="array" aca="1" ref="DK156" ca="1">_FV(EH156,"Fechamento anterior",TRUE)</f>
        <v>30.4</v>
      </c>
      <c r="DL156" s="36">
        <f ca="1">(BJ156-DM156)/(DN156-DM156)</f>
        <v>0.24166885904433077</v>
      </c>
      <c r="DM156" s="18">
        <f t="shared" ca="1" si="160"/>
        <v>31.263576823039077</v>
      </c>
      <c r="DN156" s="18">
        <f t="shared" ca="1" si="161"/>
        <v>32.076355009428795</v>
      </c>
      <c r="DO156" s="9"/>
      <c r="DP156" s="9"/>
      <c r="DQ156" s="94">
        <v>1.7696257749841141E-2</v>
      </c>
      <c r="DR156" s="94">
        <v>3.6498531609047355E-2</v>
      </c>
      <c r="DS156" s="94">
        <v>2.9794149512459348E-2</v>
      </c>
      <c r="DT156" s="94">
        <f t="shared" ca="1" si="137"/>
        <v>2.6736124552293433E-2</v>
      </c>
      <c r="DU156" s="87">
        <f ca="1">(BJ156-CF156)/(CF156-CE156)</f>
        <v>0.24279025958652839</v>
      </c>
      <c r="DV156" s="46"/>
      <c r="DW156" s="43">
        <f>_xlfn.STDEV.P(BF156:BI156)</f>
        <v>0.63841111362506786</v>
      </c>
      <c r="DX156" s="76">
        <f ca="1">BO156-$DT$2</f>
        <v>-0.41400000000000015</v>
      </c>
      <c r="DY156" s="76">
        <f ca="1">BO156-BP156*100</f>
        <v>-2.9037000000000002</v>
      </c>
      <c r="DZ156" s="101"/>
      <c r="EA156" s="100">
        <v>-3.2499999999999973E-2</v>
      </c>
      <c r="EB156" s="107">
        <v>1.8733</v>
      </c>
      <c r="EC156" s="107">
        <v>-8.1599999999999895E-2</v>
      </c>
      <c r="ED156" s="98">
        <f t="shared" ca="1" si="138"/>
        <v>2.4897</v>
      </c>
      <c r="EE156" s="66"/>
      <c r="EF156" s="66"/>
      <c r="EH156" s="2" t="e" vm="158">
        <v>#VALUE!</v>
      </c>
      <c r="EJ156" s="10" cm="1">
        <f t="array" aca="1" ref="EJ156" ca="1">_FV(EH156,"Ações em circulação",TRUE)</f>
        <v>3261287000</v>
      </c>
      <c r="EK156" s="21">
        <f>VLOOKUP(BK156,Fundamentus!A:U,5,FALSE)</f>
        <v>1.714</v>
      </c>
      <c r="EL156" s="2">
        <f ca="1">(BJ156*EJ156)/EK156</f>
        <v>59860028599.766632</v>
      </c>
      <c r="EM156" s="20">
        <v>5836371815.8226376</v>
      </c>
      <c r="EN156" s="20">
        <f t="shared" ca="1" si="139"/>
        <v>6039876885.7164536</v>
      </c>
      <c r="EP156" s="19">
        <f t="shared" ca="1" si="134"/>
        <v>3.4868421052631549E-2</v>
      </c>
      <c r="EQ156" s="40" t="str">
        <f>IF(VLOOKUP(BK156,Fundamentus!A:U,3,FALSE)&lt;15,"Bom",IF(VLOOKUP(BK156,Fundamentus!A:U,3,FALSE)&gt;15,"Ruim","n/a"))</f>
        <v>Ruim</v>
      </c>
      <c r="ER156" s="36" t="str">
        <f>IF(VLOOKUP(BK156,Fundamentus!A:U,4,FALSE)&lt;1,"Baixo",IF(VLOOKUP(BK156,Fundamentus!A:U,4,FALSE)&lt;1.5,"Moderado",IF(VLOOKUP(BK156,Fundamentus!A:U,4,FALSE)&gt;1.5,"Alto","n/a")))</f>
        <v>Moderado</v>
      </c>
      <c r="ES156" s="20" t="str">
        <f>IF(VLOOKUP(BK156,Fundamentus!A:U,8,FALSE)&lt;0,"Risco elevado",IF(VLOOKUP(BK156,Fundamentus!A:U,8,FALSE)&lt;1,"Saudável",IF(VLOOKUP(BK156,Fundamentus!A:U,8,FALSE)&lt;3,"Estável",IF(VLOOKUP(BK156,Fundamentus!A:U,8,FALSE)&gt;3,"Alerta","n/a"))))</f>
        <v>Risco elevado</v>
      </c>
      <c r="ET156" s="36" t="str">
        <f t="shared" si="140"/>
        <v>Bom</v>
      </c>
      <c r="EU156" s="20" t="str">
        <f>IF(VLOOKUP(BK156,Fundamentus!A:U,12,FALSE)&lt;2,"Subvalorizada",IF(VLOOKUP(BK156,Fundamentus!A:U,12,FALSE)&lt;6,"Muita barata",IF(VLOOKUP(BK156,Fundamentus!A:U,12,FALSE)&lt;6,"Barata",IF(VLOOKUP(BK156,Fundamentus!A:U,12,FALSE)&lt;8,"Atrativa",IF(VLOOKUP(BK156,Fundamentus!A:U,12,FALSE)&gt;8,"Supervalorizada","n/a")))))</f>
        <v>Muita barata</v>
      </c>
      <c r="EW156" s="20" t="str">
        <f>IF(VLOOKUP(BK156,Fundamentus!A:U,17,FALSE)&lt;0.1,"Fraco retorno",IF(VLOOKUP(BK156,Fundamentus!A:U,17,FALSE)&gt;0.1,"Bom retorno","n/a"))</f>
        <v>Fraco retorno</v>
      </c>
      <c r="EX156" s="20" t="str">
        <f>IF(VLOOKUP(BK156,Fundamentus!A:U,16,FALSE)&lt;0.1,"Ineficiente",IF(VLOOKUP(BK156,Fundamentus!A:U,16,FALSE)&gt;0.1,"Eficiente","n/a"))</f>
        <v>Ineficiente</v>
      </c>
      <c r="EY156" s="41" t="str">
        <f>IF(VLOOKUP(BK156,Fundamentus!A:U,16,FALSE)&lt;0.1,"Oper. Ineficiente",IF(VLOOKUP(BK156,Fundamentus!A:U,16,FALSE)&gt;0.1,"Oper.Eficiente","n/a"))</f>
        <v>Oper. Ineficiente</v>
      </c>
      <c r="EZ156" s="42">
        <f>VLOOKUP(BK156,Fundamentus!A:U,14,FALSE)</f>
        <v>0.1009</v>
      </c>
      <c r="FA156" s="20" t="str">
        <f>IF(VLOOKUP(BK156,Fundamentus!A:U,21,FALSE)&lt;0,"Negativo",IF(VLOOKUP(BK156,Fundamentus!A:U,21,FALSE)&lt;0.05,"Fraco",IF(VLOOKUP(BK156,Fundamentus!A:U,21,FALSE)&lt;0.1,"Bom",IF(VLOOKUP(BK156,Fundamentus!A:U,21,FALSE)&gt;0.1,"Muito bom","n/a"))))</f>
        <v>Bom</v>
      </c>
      <c r="FC156" s="37" t="str">
        <f>IF(VLOOKUP(BK156,Fundamentus!A:U,15,FALSE)&gt;1,"Bom",IF(VLOOKUP(BK156,Fundamentus!A:U,15,FALSE)&lt;1,"Ruim","n/a"))</f>
        <v>Ruim</v>
      </c>
      <c r="FD156" s="20" t="str">
        <f>IF(VLOOKUP(BK156,Fundamentus!A:U,20,FALSE)&lt;0.5,"Baixa",IF(VLOOKUP(BK156,Fundamentus!A:U,20,FALSE)&lt;1,"Moderada",IF(VLOOKUP(BK156,Fundamentus!A:U,20,FALSE)&lt;2,"Alerta",IF(VLOOKUP(BK156,Fundamentus!A:U,20,FALSE)&gt;2,"Alta","n/a"))))</f>
        <v>Baixa</v>
      </c>
      <c r="FE156" s="10"/>
    </row>
    <row r="157" spans="1:161" s="2" customFormat="1" ht="11.25" hidden="1"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8">
        <v>3.47</v>
      </c>
      <c r="BC157" s="62">
        <v>3.33</v>
      </c>
      <c r="BD157" s="62">
        <v>3.32</v>
      </c>
      <c r="BE157" s="62">
        <v>3.48</v>
      </c>
      <c r="BF157" s="62">
        <v>3.43</v>
      </c>
      <c r="BG157" s="81">
        <v>3.34</v>
      </c>
      <c r="BH157" s="62">
        <v>3.43</v>
      </c>
      <c r="BI157" s="62">
        <v>3.43</v>
      </c>
      <c r="BJ157" s="62" cm="1">
        <f t="array" aca="1" ref="BJ157" ca="1">_FV(EH157,"Preço")</f>
        <v>3.41</v>
      </c>
      <c r="BK157" s="83" t="s">
        <v>153</v>
      </c>
      <c r="BL157" s="44" cm="1">
        <f t="array" aca="1" ref="BL157" ca="1">_FV(EH157,"Média de volume",TRUE)</f>
        <v>768190</v>
      </c>
      <c r="BM157" s="44">
        <v>787800</v>
      </c>
      <c r="BN157" s="44" cm="1">
        <f t="array" aca="1" ref="BN157" ca="1">_FV(EH157,"Volume")</f>
        <v>469000</v>
      </c>
      <c r="BO157" s="32" cm="1">
        <f t="array" aca="1" ref="BO157" ca="1">_FV(EH157,"Beta")</f>
        <v>1.3250999999999999</v>
      </c>
      <c r="BP157" s="86" cm="1">
        <f t="array" aca="1" ref="BP157" ca="1">_FV(EH157,"Variação (%)",TRUE)</f>
        <v>-5.8309999999999994E-3</v>
      </c>
      <c r="BQ157" s="48"/>
      <c r="BR157" s="48"/>
      <c r="BT157" s="20" cm="1">
        <f t="array" aca="1" ref="BT157" ca="1">_FV(EH157,"Baixo")</f>
        <v>3.4</v>
      </c>
      <c r="BU157" s="20" cm="1">
        <f t="array" aca="1" ref="BU157" ca="1">_FV(EH157,"Alto")</f>
        <v>3.47</v>
      </c>
      <c r="BV157" s="32"/>
      <c r="BW157" s="73">
        <f ca="1">SQRT(22.5*(BJ157/VLOOKUP(BK157,Fundamentus!A:U,3,FALSE))*(BJ157/VLOOKUP(BK157,Fundamentus!A:U,4,FALSE)))</f>
        <v>4.897933579253765</v>
      </c>
      <c r="BY157" s="72">
        <f t="shared" ca="1" si="135"/>
        <v>-5.8309037900874687E-3</v>
      </c>
      <c r="BZ157" s="8"/>
      <c r="CA157" s="71">
        <f t="shared" si="143"/>
        <v>2.2400000000000002</v>
      </c>
      <c r="CB157" s="71">
        <f t="shared" si="136"/>
        <v>3.48</v>
      </c>
      <c r="CC157" s="71">
        <f t="shared" si="144"/>
        <v>3.0009836065573774</v>
      </c>
      <c r="CD157" s="17"/>
      <c r="CE157" s="43">
        <f t="shared" si="141"/>
        <v>3.3520577136593999</v>
      </c>
      <c r="CF157" s="18">
        <f>FORECAST("04/07/2025", BF157:BI157, $BF$5:$BI$5)</f>
        <v>3.4299999999999997</v>
      </c>
      <c r="CG157" s="43">
        <f t="shared" si="142"/>
        <v>3.5079422863405996</v>
      </c>
      <c r="CI157" s="17"/>
      <c r="CJ157" s="20">
        <f>CA157-2*(CB157-CM157)</f>
        <v>1.3800000000000008</v>
      </c>
      <c r="CK157" s="20">
        <f>CM157-(CB157-CA157)</f>
        <v>1.8100000000000005</v>
      </c>
      <c r="CL157" s="20">
        <f>2*CM157-CB157</f>
        <v>2.6200000000000006</v>
      </c>
      <c r="CM157" s="48">
        <f>(CB157+CA157+BI157)/3</f>
        <v>3.0500000000000003</v>
      </c>
      <c r="CN157" s="20">
        <f>2*CM157-CA157</f>
        <v>3.8600000000000003</v>
      </c>
      <c r="CO157" s="20">
        <f>CM157+(CB157-CA157)</f>
        <v>4.29</v>
      </c>
      <c r="CP157" s="20">
        <f>CB157+2*(CM157-CA157)</f>
        <v>5.0999999999999996</v>
      </c>
      <c r="CQ157" s="2" cm="1">
        <f t="array" aca="1" ref="CQ157" ca="1">MAX(_xlfn._xlws.FILTER(CJ157:CP157,CJ157:CP157&lt;BJ157))</f>
        <v>3.0500000000000003</v>
      </c>
      <c r="CR157" s="2" cm="1">
        <f t="array" aca="1" ref="CR157" ca="1">MIN(_xlfn._xlws.FILTER($CJ157:$CP157,$CJ157:$CP157&gt;BJ157))</f>
        <v>3.8600000000000003</v>
      </c>
      <c r="CS157" s="19">
        <f t="shared" ca="1" si="145"/>
        <v>0.26557377049180331</v>
      </c>
      <c r="CT157" s="23">
        <f t="shared" ca="1" si="146"/>
        <v>-0.13278688524590165</v>
      </c>
      <c r="CU157" s="23">
        <f t="shared" ca="1" si="147"/>
        <v>-8.8524590163934436E-2</v>
      </c>
      <c r="CV157" s="23">
        <f t="shared" ca="1" si="148"/>
        <v>-5.311475409836066E-2</v>
      </c>
      <c r="CW157" s="23">
        <f t="shared" ca="1" si="149"/>
        <v>-2.950819672131148E-2</v>
      </c>
      <c r="CX157" s="23">
        <f t="shared" ca="1" si="150"/>
        <v>-1.5621986499517841E-2</v>
      </c>
      <c r="CY157" s="23">
        <f t="shared" ca="1" si="151"/>
        <v>-8.0476900149031305E-3</v>
      </c>
      <c r="CZ157" s="23">
        <f t="shared" ca="1" si="152"/>
        <v>-4.0857503152585128E-3</v>
      </c>
      <c r="DA157" s="24">
        <f t="shared" ca="1" si="153"/>
        <v>4.0857503152585128E-3</v>
      </c>
      <c r="DB157" s="24">
        <f t="shared" ca="1" si="154"/>
        <v>8.0476900149031305E-3</v>
      </c>
      <c r="DC157" s="24">
        <f t="shared" ca="1" si="155"/>
        <v>1.5621986499517841E-2</v>
      </c>
      <c r="DD157" s="24">
        <f t="shared" ca="1" si="156"/>
        <v>2.950819672131148E-2</v>
      </c>
      <c r="DE157" s="24">
        <f t="shared" ca="1" si="157"/>
        <v>5.311475409836066E-2</v>
      </c>
      <c r="DF157" s="24">
        <f t="shared" ca="1" si="158"/>
        <v>8.8524590163934436E-2</v>
      </c>
      <c r="DG157" s="24">
        <f t="shared" ca="1" si="159"/>
        <v>0.13278688524590165</v>
      </c>
      <c r="DI157" s="19" cm="1">
        <f t="array" aca="1" ref="DI157" ca="1">MAX(_xlfn._xlws.FILTER(CT157:DG157,CT157:DG157&lt;BP157))</f>
        <v>-8.0476900149031305E-3</v>
      </c>
      <c r="DJ157" s="19" cm="1">
        <f t="array" aca="1" ref="DJ157" ca="1">MIN(_xlfn._xlws.FILTER(CT157:DG157,CT157:DG157&gt;BP157))</f>
        <v>-4.0857503152585128E-3</v>
      </c>
      <c r="DK157" s="2" cm="1">
        <f t="array" aca="1" ref="DK157" ca="1">_FV(EH157,"Fechamento anterior",TRUE)</f>
        <v>3.43</v>
      </c>
      <c r="DL157" s="36">
        <f ca="1">(BJ157-DM157)/(DN157-DM157)</f>
        <v>0.55952043515818362</v>
      </c>
      <c r="DM157" s="18">
        <f t="shared" ca="1" si="160"/>
        <v>3.4023964232488826</v>
      </c>
      <c r="DN157" s="18">
        <f t="shared" ca="1" si="161"/>
        <v>3.4159858764186635</v>
      </c>
      <c r="DO157" s="9"/>
      <c r="DP157" s="9"/>
      <c r="DQ157" s="94">
        <v>1.8741633199464543E-2</v>
      </c>
      <c r="DR157" s="94">
        <v>3.1454489285814616E-3</v>
      </c>
      <c r="DS157" s="94">
        <v>7.3662216241102106E-3</v>
      </c>
      <c r="DT157" s="94">
        <f t="shared" ca="1" si="137"/>
        <v>3.9619396996446177E-3</v>
      </c>
      <c r="DU157" s="87">
        <f ca="1">(BJ157-CF157)/(CF157-CE157)</f>
        <v>-0.25660011963982698</v>
      </c>
      <c r="DV157" s="46"/>
      <c r="DW157" s="43">
        <f>_xlfn.STDEV.P(BF157:BI157)</f>
        <v>3.8971143170299871E-2</v>
      </c>
      <c r="DX157" s="76">
        <f ca="1">BO157-$DT$2</f>
        <v>0.32799999999999985</v>
      </c>
      <c r="DY157" s="76">
        <f ca="1">BO157-BP157*100</f>
        <v>1.9081999999999999</v>
      </c>
      <c r="DZ157" s="101"/>
      <c r="EA157" s="100">
        <v>0.29869999999999997</v>
      </c>
      <c r="EB157" s="107">
        <v>0.95120000000000027</v>
      </c>
      <c r="EC157" s="107">
        <v>-1.5382999999999998</v>
      </c>
      <c r="ED157" s="98">
        <f t="shared" ca="1" si="138"/>
        <v>-1.5802</v>
      </c>
      <c r="EE157" s="66"/>
      <c r="EF157" s="66"/>
      <c r="EH157" s="2" t="e" vm="159">
        <v>#VALUE!</v>
      </c>
      <c r="EJ157" s="10" cm="1">
        <f t="array" aca="1" ref="EJ157" ca="1">_FV(EH157,"Ações em circulação",TRUE)</f>
        <v>622672700</v>
      </c>
      <c r="EK157" s="21">
        <f>VLOOKUP(BK157,Fundamentus!A:U,5,FALSE)</f>
        <v>0.158</v>
      </c>
      <c r="EL157" s="2">
        <f ca="1">(BJ157*EJ157)/EK157</f>
        <v>13438695613.924051</v>
      </c>
      <c r="EM157" s="20">
        <v>150044415.86772153</v>
      </c>
      <c r="EN157" s="20">
        <f t="shared" ca="1" si="139"/>
        <v>149169521.31455699</v>
      </c>
      <c r="EP157" s="19">
        <f t="shared" ca="1" si="134"/>
        <v>-5.8309037900873273E-3</v>
      </c>
      <c r="EQ157" s="40" t="str">
        <f>IF(VLOOKUP(BK157,Fundamentus!A:U,3,FALSE)&lt;15,"Bom",IF(VLOOKUP(BK157,Fundamentus!A:U,3,FALSE)&gt;15,"Ruim","n/a"))</f>
        <v>Bom</v>
      </c>
      <c r="ER157" s="36" t="str">
        <f>IF(VLOOKUP(BK157,Fundamentus!A:U,4,FALSE)&lt;1,"Baixo",IF(VLOOKUP(BK157,Fundamentus!A:U,4,FALSE)&lt;1.5,"Moderado",IF(VLOOKUP(BK157,Fundamentus!A:U,4,FALSE)&gt;1.5,"Alto","n/a")))</f>
        <v>Baixo</v>
      </c>
      <c r="ES157" s="20" t="str">
        <f>IF(VLOOKUP(BK157,Fundamentus!A:U,8,FALSE)&lt;0,"Risco elevado",IF(VLOOKUP(BK157,Fundamentus!A:U,8,FALSE)&lt;1,"Saudável",IF(VLOOKUP(BK157,Fundamentus!A:U,8,FALSE)&lt;3,"Estável",IF(VLOOKUP(BK157,Fundamentus!A:U,8,FALSE)&gt;3,"Alerta","n/a"))))</f>
        <v>Estável</v>
      </c>
      <c r="ET157" s="36" t="str">
        <f t="shared" si="140"/>
        <v>Ruim</v>
      </c>
      <c r="EU157" s="20" t="str">
        <f>IF(VLOOKUP(BK157,Fundamentus!A:U,12,FALSE)&lt;2,"Subvalorizada",IF(VLOOKUP(BK157,Fundamentus!A:U,12,FALSE)&lt;6,"Muita barata",IF(VLOOKUP(BK157,Fundamentus!A:U,12,FALSE)&lt;6,"Barata",IF(VLOOKUP(BK157,Fundamentus!A:U,12,FALSE)&lt;8,"Atrativa",IF(VLOOKUP(BK157,Fundamentus!A:U,12,FALSE)&gt;8,"Supervalorizada","n/a")))))</f>
        <v>Muita barata</v>
      </c>
      <c r="EW157" s="20" t="str">
        <f>IF(VLOOKUP(BK157,Fundamentus!A:U,17,FALSE)&lt;0.1,"Fraco retorno",IF(VLOOKUP(BK157,Fundamentus!A:U,17,FALSE)&gt;0.1,"Bom retorno","n/a"))</f>
        <v>Fraco retorno</v>
      </c>
      <c r="EX157" s="20" t="str">
        <f>IF(VLOOKUP(BK157,Fundamentus!A:U,16,FALSE)&lt;0.1,"Ineficiente",IF(VLOOKUP(BK157,Fundamentus!A:U,16,FALSE)&gt;0.1,"Eficiente","n/a"))</f>
        <v>Ineficiente</v>
      </c>
      <c r="EY157" s="41" t="str">
        <f>IF(VLOOKUP(BK157,Fundamentus!A:U,16,FALSE)&lt;0.1,"Oper. Ineficiente",IF(VLOOKUP(BK157,Fundamentus!A:U,16,FALSE)&gt;0.1,"Oper.Eficiente","n/a"))</f>
        <v>Oper. Ineficiente</v>
      </c>
      <c r="EZ157" s="42">
        <f>VLOOKUP(BK157,Fundamentus!A:U,14,FALSE)</f>
        <v>1.11E-2</v>
      </c>
      <c r="FA157" s="20" t="str">
        <f>IF(VLOOKUP(BK157,Fundamentus!A:U,21,FALSE)&lt;0,"Negativo",IF(VLOOKUP(BK157,Fundamentus!A:U,21,FALSE)&lt;0.05,"Fraco",IF(VLOOKUP(BK157,Fundamentus!A:U,21,FALSE)&lt;0.1,"Bom",IF(VLOOKUP(BK157,Fundamentus!A:U,21,FALSE)&gt;0.1,"Muito bom","n/a"))))</f>
        <v>Muito bom</v>
      </c>
      <c r="FC157" s="37" t="str">
        <f>IF(VLOOKUP(BK157,Fundamentus!A:U,15,FALSE)&gt;1,"Bom",IF(VLOOKUP(BK157,Fundamentus!A:U,15,FALSE)&lt;1,"Ruim","n/a"))</f>
        <v>Bom</v>
      </c>
      <c r="FD157" s="20" t="str">
        <f>IF(VLOOKUP(BK157,Fundamentus!A:U,20,FALSE)&lt;0.5,"Baixa",IF(VLOOKUP(BK157,Fundamentus!A:U,20,FALSE)&lt;1,"Moderada",IF(VLOOKUP(BK157,Fundamentus!A:U,20,FALSE)&lt;2,"Alerta",IF(VLOOKUP(BK157,Fundamentus!A:U,20,FALSE)&gt;2,"Alta","n/a"))))</f>
        <v>Moderada</v>
      </c>
      <c r="FE157" s="10"/>
    </row>
    <row r="158" spans="1:161" s="2" customFormat="1" ht="11.25" hidden="1"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8">
        <v>11.55</v>
      </c>
      <c r="BC158" s="62">
        <v>13.15</v>
      </c>
      <c r="BD158" s="62">
        <v>13.92</v>
      </c>
      <c r="BE158" s="62">
        <v>14.49</v>
      </c>
      <c r="BF158" s="62">
        <v>14.64</v>
      </c>
      <c r="BG158" s="81">
        <v>14.98</v>
      </c>
      <c r="BH158" s="62">
        <v>14.36</v>
      </c>
      <c r="BI158" s="62">
        <v>14.55</v>
      </c>
      <c r="BJ158" s="62" cm="1">
        <f t="array" aca="1" ref="BJ158" ca="1">_FV(EH158,"Preço")</f>
        <v>14.62</v>
      </c>
      <c r="BK158" s="85" t="s">
        <v>154</v>
      </c>
      <c r="BL158" s="44" cm="1">
        <f t="array" aca="1" ref="BL158" ca="1">_FV(EH158,"Média de volume",TRUE)</f>
        <v>326110</v>
      </c>
      <c r="BM158" s="44">
        <v>262300</v>
      </c>
      <c r="BN158" s="44" cm="1">
        <f t="array" aca="1" ref="BN158" ca="1">_FV(EH158,"Volume")</f>
        <v>68900</v>
      </c>
      <c r="BO158" s="32" cm="1">
        <f t="array" aca="1" ref="BO158" ca="1">_FV(EH158,"Beta")</f>
        <v>1.0880000000000001</v>
      </c>
      <c r="BP158" s="86" cm="1">
        <f t="array" aca="1" ref="BP158" ca="1">_FV(EH158,"Variação (%)",TRUE)</f>
        <v>4.8110000000000002E-3</v>
      </c>
      <c r="BQ158" s="71"/>
      <c r="BR158" s="71"/>
      <c r="BT158" s="20" cm="1">
        <f t="array" aca="1" ref="BT158" ca="1">_FV(EH158,"Baixo")</f>
        <v>14.46</v>
      </c>
      <c r="BU158" s="20" cm="1">
        <f t="array" aca="1" ref="BU158" ca="1">_FV(EH158,"Alto")</f>
        <v>14.85</v>
      </c>
      <c r="BV158" s="32"/>
      <c r="BW158" s="73">
        <f ca="1">SQRT(22.5*(BJ158/VLOOKUP(BK158,Fundamentus!A:U,3,FALSE))*(BJ158/VLOOKUP(BK158,Fundamentus!A:U,4,FALSE)))</f>
        <v>7.4684952876774844</v>
      </c>
      <c r="BY158" s="72">
        <f t="shared" ca="1" si="135"/>
        <v>4.8109965635737802E-3</v>
      </c>
      <c r="BZ158" s="8"/>
      <c r="CA158" s="71">
        <f t="shared" si="143"/>
        <v>8.59</v>
      </c>
      <c r="CB158" s="71">
        <f t="shared" si="136"/>
        <v>14.98</v>
      </c>
      <c r="CC158" s="71">
        <f t="shared" si="144"/>
        <v>10.984918032786883</v>
      </c>
      <c r="CD158" s="17"/>
      <c r="CE158" s="43">
        <f t="shared" si="141"/>
        <v>13.960694981109796</v>
      </c>
      <c r="CF158" s="18">
        <f>FORECAST("04/07/2025", BF158:BI158, $BF$5:$BI$5)</f>
        <v>14.410000000000082</v>
      </c>
      <c r="CG158" s="43">
        <f t="shared" si="142"/>
        <v>14.859305018890367</v>
      </c>
      <c r="CI158" s="17"/>
      <c r="CJ158" s="20">
        <f>CA158-2*(CB158-CM158)</f>
        <v>4.0433333333333366</v>
      </c>
      <c r="CK158" s="20">
        <f>CM158-(CB158-CA158)</f>
        <v>6.3166666666666682</v>
      </c>
      <c r="CL158" s="20">
        <f>2*CM158-CB158</f>
        <v>10.433333333333337</v>
      </c>
      <c r="CM158" s="48">
        <f>(CB158+CA158+BI158)/3</f>
        <v>12.706666666666669</v>
      </c>
      <c r="CN158" s="20">
        <f>2*CM158-CA158</f>
        <v>16.823333333333338</v>
      </c>
      <c r="CO158" s="20">
        <f>CM158+(CB158-CA158)</f>
        <v>19.096666666666671</v>
      </c>
      <c r="CP158" s="20">
        <f>CB158+2*(CM158-CA158)</f>
        <v>23.213333333333338</v>
      </c>
      <c r="CQ158" s="2" cm="1">
        <f t="array" aca="1" ref="CQ158" ca="1">MAX(_xlfn._xlws.FILTER(CJ158:CP158,CJ158:CP158&lt;BJ158))</f>
        <v>12.706666666666669</v>
      </c>
      <c r="CR158" s="2" cm="1">
        <f t="array" aca="1" ref="CR158" ca="1">MIN(_xlfn._xlws.FILTER($CJ158:$CP158,$CJ158:$CP158&gt;BJ158))</f>
        <v>16.823333333333338</v>
      </c>
      <c r="CS158" s="19">
        <f t="shared" ca="1" si="145"/>
        <v>0.32397691500524672</v>
      </c>
      <c r="CT158" s="23">
        <f t="shared" ca="1" si="146"/>
        <v>-0.16198845750262336</v>
      </c>
      <c r="CU158" s="23">
        <f t="shared" ca="1" si="147"/>
        <v>-0.1079923050017489</v>
      </c>
      <c r="CV158" s="23">
        <f t="shared" ca="1" si="148"/>
        <v>-6.4795383001049339E-2</v>
      </c>
      <c r="CW158" s="23">
        <f t="shared" ca="1" si="149"/>
        <v>-3.5997435000582972E-2</v>
      </c>
      <c r="CX158" s="23">
        <f t="shared" ca="1" si="150"/>
        <v>-1.9057465588543925E-2</v>
      </c>
      <c r="CY158" s="23">
        <f t="shared" ca="1" si="151"/>
        <v>-9.8174822728862646E-3</v>
      </c>
      <c r="CZ158" s="23">
        <f t="shared" ca="1" si="152"/>
        <v>-4.9842602308499493E-3</v>
      </c>
      <c r="DA158" s="24">
        <f t="shared" ca="1" si="153"/>
        <v>4.9842602308499493E-3</v>
      </c>
      <c r="DB158" s="24">
        <f t="shared" ca="1" si="154"/>
        <v>9.8174822728862646E-3</v>
      </c>
      <c r="DC158" s="24">
        <f t="shared" ca="1" si="155"/>
        <v>1.9057465588543925E-2</v>
      </c>
      <c r="DD158" s="24">
        <f t="shared" ca="1" si="156"/>
        <v>3.5997435000582972E-2</v>
      </c>
      <c r="DE158" s="24">
        <f t="shared" ca="1" si="157"/>
        <v>6.4795383001049339E-2</v>
      </c>
      <c r="DF158" s="24">
        <f t="shared" ca="1" si="158"/>
        <v>0.1079923050017489</v>
      </c>
      <c r="DG158" s="24">
        <f t="shared" ca="1" si="159"/>
        <v>0.16198845750262336</v>
      </c>
      <c r="DI158" s="19" cm="1">
        <f t="array" aca="1" ref="DI158" ca="1">MAX(_xlfn._xlws.FILTER(CT158:DG158,CT158:DG158&lt;BP158))</f>
        <v>-4.9842602308499493E-3</v>
      </c>
      <c r="DJ158" s="19" cm="1">
        <f t="array" aca="1" ref="DJ158" ca="1">MIN(_xlfn._xlws.FILTER(CT158:DG158,CT158:DG158&gt;BP158))</f>
        <v>4.9842602308499493E-3</v>
      </c>
      <c r="DK158" s="2" cm="1">
        <f t="array" aca="1" ref="DK158" ca="1">_FV(EH158,"Fechamento anterior",TRUE)</f>
        <v>14.55</v>
      </c>
      <c r="DL158" s="36">
        <f ca="1">(BJ158-DM158)/(DN158-DM158)</f>
        <v>0.9826189184300812</v>
      </c>
      <c r="DM158" s="18">
        <f t="shared" ca="1" si="160"/>
        <v>14.477479013641133</v>
      </c>
      <c r="DN158" s="18">
        <f t="shared" ca="1" si="161"/>
        <v>14.622520986358868</v>
      </c>
      <c r="DO158" s="9"/>
      <c r="DP158" s="9"/>
      <c r="DQ158" s="94">
        <v>1.3545460353970999E-2</v>
      </c>
      <c r="DR158" s="94">
        <v>8.0688850227928384E-3</v>
      </c>
      <c r="DS158" s="94">
        <v>1.0200538760850043E-2</v>
      </c>
      <c r="DT158" s="94">
        <f t="shared" ca="1" si="137"/>
        <v>9.9685204616998986E-3</v>
      </c>
      <c r="DU158" s="87">
        <f ca="1">(BJ158-CF158)/(CF158-CE158)</f>
        <v>0.46738850262252823</v>
      </c>
      <c r="DV158" s="46"/>
      <c r="DW158" s="43">
        <f>_xlfn.STDEV.P(BF158:BI158)</f>
        <v>0.22465250944514314</v>
      </c>
      <c r="DX158" s="76">
        <f ca="1">BO158-$DT$2</f>
        <v>9.0899999999999981E-2</v>
      </c>
      <c r="DY158" s="76">
        <f ca="1">BO158-BP158*100</f>
        <v>0.6069</v>
      </c>
      <c r="DZ158" s="101"/>
      <c r="EA158" s="100">
        <v>0.49990000000000001</v>
      </c>
      <c r="EB158" s="107">
        <v>-2.6402999999999999</v>
      </c>
      <c r="EC158" s="107">
        <v>2.2862</v>
      </c>
      <c r="ED158" s="98">
        <f t="shared" ca="1" si="138"/>
        <v>-0.51600000000000001</v>
      </c>
      <c r="EE158" s="66"/>
      <c r="EF158" s="66"/>
      <c r="EH158" s="2" t="e" vm="160">
        <v>#VALUE!</v>
      </c>
      <c r="EJ158" s="10" cm="1">
        <f t="array" aca="1" ref="EJ158" ca="1">_FV(EH158,"Ações em circulação",TRUE)</f>
        <v>65492860</v>
      </c>
      <c r="EK158" s="21">
        <f>VLOOKUP(BK158,Fundamentus!A:U,5,FALSE)</f>
        <v>2.601</v>
      </c>
      <c r="EL158" s="2">
        <f ca="1">(BJ158*EJ158)/EK158</f>
        <v>368129801.30718952</v>
      </c>
      <c r="EM158" s="20">
        <v>52390511.018454432</v>
      </c>
      <c r="EN158" s="20">
        <f t="shared" ca="1" si="139"/>
        <v>52642561.586928099</v>
      </c>
      <c r="EP158" s="19">
        <f t="shared" ca="1" si="134"/>
        <v>4.8109965635738661E-3</v>
      </c>
      <c r="EQ158" s="40" t="str">
        <f>IF(VLOOKUP(BK158,Fundamentus!A:U,3,FALSE)&lt;15,"Bom",IF(VLOOKUP(BK158,Fundamentus!A:U,3,FALSE)&gt;15,"Ruim","n/a"))</f>
        <v>Ruim</v>
      </c>
      <c r="ER158" s="36" t="str">
        <f>IF(VLOOKUP(BK158,Fundamentus!A:U,4,FALSE)&lt;1,"Baixo",IF(VLOOKUP(BK158,Fundamentus!A:U,4,FALSE)&lt;1.5,"Moderado",IF(VLOOKUP(BK158,Fundamentus!A:U,4,FALSE)&gt;1.5,"Alto","n/a")))</f>
        <v>Alto</v>
      </c>
      <c r="ES158" s="20" t="str">
        <f>IF(VLOOKUP(BK158,Fundamentus!A:U,8,FALSE)&lt;0,"Risco elevado",IF(VLOOKUP(BK158,Fundamentus!A:U,8,FALSE)&lt;1,"Saudável",IF(VLOOKUP(BK158,Fundamentus!A:U,8,FALSE)&lt;3,"Estável",IF(VLOOKUP(BK158,Fundamentus!A:U,8,FALSE)&gt;3,"Alerta","n/a"))))</f>
        <v>Alerta</v>
      </c>
      <c r="ET158" s="36" t="str">
        <f t="shared" si="140"/>
        <v>Bom</v>
      </c>
      <c r="EU158" s="20" t="str">
        <f>IF(VLOOKUP(BK158,Fundamentus!A:U,12,FALSE)&lt;2,"Subvalorizada",IF(VLOOKUP(BK158,Fundamentus!A:U,12,FALSE)&lt;6,"Muita barata",IF(VLOOKUP(BK158,Fundamentus!A:U,12,FALSE)&lt;6,"Barata",IF(VLOOKUP(BK158,Fundamentus!A:U,12,FALSE)&lt;8,"Atrativa",IF(VLOOKUP(BK158,Fundamentus!A:U,12,FALSE)&gt;8,"Supervalorizada","n/a")))))</f>
        <v>Supervalorizada</v>
      </c>
      <c r="EW158" s="20" t="str">
        <f>IF(VLOOKUP(BK158,Fundamentus!A:U,17,FALSE)&lt;0.1,"Fraco retorno",IF(VLOOKUP(BK158,Fundamentus!A:U,17,FALSE)&gt;0.1,"Bom retorno","n/a"))</f>
        <v>Bom retorno</v>
      </c>
      <c r="EX158" s="20" t="str">
        <f>IF(VLOOKUP(BK158,Fundamentus!A:U,16,FALSE)&lt;0.1,"Ineficiente",IF(VLOOKUP(BK158,Fundamentus!A:U,16,FALSE)&gt;0.1,"Eficiente","n/a"))</f>
        <v>Eficiente</v>
      </c>
      <c r="EY158" s="41" t="str">
        <f>IF(VLOOKUP(BK158,Fundamentus!A:U,16,FALSE)&lt;0.1,"Oper. Ineficiente",IF(VLOOKUP(BK158,Fundamentus!A:U,16,FALSE)&gt;0.1,"Oper.Eficiente","n/a"))</f>
        <v>Oper.Eficiente</v>
      </c>
      <c r="EZ158" s="42">
        <f>VLOOKUP(BK158,Fundamentus!A:U,14,FALSE)</f>
        <v>0.14299999999999999</v>
      </c>
      <c r="FA158" s="20" t="str">
        <f>IF(VLOOKUP(BK158,Fundamentus!A:U,21,FALSE)&lt;0,"Negativo",IF(VLOOKUP(BK158,Fundamentus!A:U,21,FALSE)&lt;0.05,"Fraco",IF(VLOOKUP(BK158,Fundamentus!A:U,21,FALSE)&lt;0.1,"Bom",IF(VLOOKUP(BK158,Fundamentus!A:U,21,FALSE)&gt;0.1,"Muito bom","n/a"))))</f>
        <v>Muito bom</v>
      </c>
      <c r="FC158" s="37" t="str">
        <f>IF(VLOOKUP(BK158,Fundamentus!A:U,15,FALSE)&gt;1,"Bom",IF(VLOOKUP(BK158,Fundamentus!A:U,15,FALSE)&lt;1,"Ruim","n/a"))</f>
        <v>Bom</v>
      </c>
      <c r="FD158" s="20" t="str">
        <f>IF(VLOOKUP(BK158,Fundamentus!A:U,20,FALSE)&lt;0.5,"Baixa",IF(VLOOKUP(BK158,Fundamentus!A:U,20,FALSE)&lt;1,"Moderada",IF(VLOOKUP(BK158,Fundamentus!A:U,20,FALSE)&lt;2,"Alerta",IF(VLOOKUP(BK158,Fundamentus!A:U,20,FALSE)&gt;2,"Alta","n/a"))))</f>
        <v>Baixa</v>
      </c>
      <c r="FE158" s="10"/>
    </row>
    <row r="159" spans="1:161" s="2" customFormat="1" ht="11.25" hidden="1"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8">
        <v>14.08</v>
      </c>
      <c r="BC159" s="62">
        <v>14.5</v>
      </c>
      <c r="BD159" s="62">
        <v>14.17</v>
      </c>
      <c r="BE159" s="62">
        <v>13.97</v>
      </c>
      <c r="BF159" s="62">
        <v>13.85</v>
      </c>
      <c r="BG159" s="81">
        <v>13.57</v>
      </c>
      <c r="BH159" s="62">
        <v>13.75</v>
      </c>
      <c r="BI159" s="62">
        <v>13.51</v>
      </c>
      <c r="BJ159" s="62" cm="1">
        <f t="array" aca="1" ref="BJ159" ca="1">_FV(EH159,"Preço")</f>
        <v>13.67</v>
      </c>
      <c r="BK159" s="83" t="s">
        <v>155</v>
      </c>
      <c r="BL159" s="44" cm="1">
        <f t="array" aca="1" ref="BL159" ca="1">_FV(EH159,"Média de volume",TRUE)</f>
        <v>7045880</v>
      </c>
      <c r="BM159" s="44">
        <v>6414500</v>
      </c>
      <c r="BN159" s="44" cm="1">
        <f t="array" aca="1" ref="BN159" ca="1">_FV(EH159,"Volume")</f>
        <v>3475200</v>
      </c>
      <c r="BO159" s="32" cm="1">
        <f t="array" aca="1" ref="BO159" ca="1">_FV(EH159,"Beta")</f>
        <v>0.88970000000000005</v>
      </c>
      <c r="BP159" s="86" cm="1">
        <f t="array" aca="1" ref="BP159" ca="1">_FV(EH159,"Variação (%)",TRUE)</f>
        <v>1.1842999999999999E-2</v>
      </c>
      <c r="BQ159" s="48"/>
      <c r="BR159" s="48"/>
      <c r="BT159" s="20" cm="1">
        <f t="array" aca="1" ref="BT159" ca="1">_FV(EH159,"Baixo")</f>
        <v>13.41</v>
      </c>
      <c r="BU159" s="20" cm="1">
        <f t="array" aca="1" ref="BU159" ca="1">_FV(EH159,"Alto")</f>
        <v>13.79</v>
      </c>
      <c r="BV159" s="32"/>
      <c r="BW159" s="73">
        <f ca="1">SQRT(22.5*(BJ159/VLOOKUP(BK159,Fundamentus!A:U,3,FALSE))*(BJ159/VLOOKUP(BK159,Fundamentus!A:U,4,FALSE)))</f>
        <v>7.5514029166324779</v>
      </c>
      <c r="BY159" s="72">
        <f t="shared" ca="1" si="135"/>
        <v>1.1843079200592164E-2</v>
      </c>
      <c r="BZ159" s="8"/>
      <c r="CA159" s="71">
        <f t="shared" si="143"/>
        <v>10.07</v>
      </c>
      <c r="CB159" s="71">
        <f t="shared" si="136"/>
        <v>14.5</v>
      </c>
      <c r="CC159" s="71">
        <f t="shared" si="144"/>
        <v>12.681967213114756</v>
      </c>
      <c r="CD159" s="17"/>
      <c r="CE159" s="43">
        <f t="shared" si="141"/>
        <v>13.187236366060207</v>
      </c>
      <c r="CF159" s="18">
        <f>FORECAST("04/07/2025", BF159:BI159, $BF$5:$BI$5)</f>
        <v>13.459999999999923</v>
      </c>
      <c r="CG159" s="43">
        <f t="shared" si="142"/>
        <v>13.732763633939639</v>
      </c>
      <c r="CI159" s="17"/>
      <c r="CJ159" s="20">
        <f>CA159-2*(CB159-CM159)</f>
        <v>6.456666666666667</v>
      </c>
      <c r="CK159" s="20">
        <f>CM159-(CB159-CA159)</f>
        <v>8.2633333333333336</v>
      </c>
      <c r="CL159" s="20">
        <f>2*CM159-CB159</f>
        <v>10.886666666666667</v>
      </c>
      <c r="CM159" s="48">
        <f>(CB159+CA159+BI159)/3</f>
        <v>12.693333333333333</v>
      </c>
      <c r="CN159" s="20">
        <f>2*CM159-CA159</f>
        <v>15.316666666666666</v>
      </c>
      <c r="CO159" s="20">
        <f>CM159+(CB159-CA159)</f>
        <v>17.123333333333335</v>
      </c>
      <c r="CP159" s="20">
        <f>CB159+2*(CM159-CA159)</f>
        <v>19.746666666666666</v>
      </c>
      <c r="CQ159" s="2" cm="1">
        <f t="array" aca="1" ref="CQ159" ca="1">MAX(_xlfn._xlws.FILTER(CJ159:CP159,CJ159:CP159&lt;BJ159))</f>
        <v>12.693333333333333</v>
      </c>
      <c r="CR159" s="2" cm="1">
        <f t="array" aca="1" ref="CR159" ca="1">MIN(_xlfn._xlws.FILTER($CJ159:$CP159,$CJ159:$CP159&gt;BJ159))</f>
        <v>15.316666666666666</v>
      </c>
      <c r="CS159" s="19">
        <f t="shared" ca="1" si="145"/>
        <v>0.20667016806722693</v>
      </c>
      <c r="CT159" s="23">
        <f t="shared" ca="1" si="146"/>
        <v>-0.10333508403361347</v>
      </c>
      <c r="CU159" s="23">
        <f t="shared" ca="1" si="147"/>
        <v>-6.8890056022408983E-2</v>
      </c>
      <c r="CV159" s="23">
        <f t="shared" ca="1" si="148"/>
        <v>-4.1334033613445384E-2</v>
      </c>
      <c r="CW159" s="23">
        <f t="shared" ca="1" si="149"/>
        <v>-2.296335200746966E-2</v>
      </c>
      <c r="CX159" s="23">
        <f t="shared" ca="1" si="150"/>
        <v>-1.2157068709836879E-2</v>
      </c>
      <c r="CY159" s="23">
        <f t="shared" ca="1" si="151"/>
        <v>-6.2627323656735435E-3</v>
      </c>
      <c r="CZ159" s="23">
        <f t="shared" ca="1" si="152"/>
        <v>-3.1795410471881069E-3</v>
      </c>
      <c r="DA159" s="24">
        <f t="shared" ca="1" si="153"/>
        <v>3.1795410471881069E-3</v>
      </c>
      <c r="DB159" s="24">
        <f t="shared" ca="1" si="154"/>
        <v>6.2627323656735435E-3</v>
      </c>
      <c r="DC159" s="24">
        <f t="shared" ca="1" si="155"/>
        <v>1.2157068709836879E-2</v>
      </c>
      <c r="DD159" s="24">
        <f t="shared" ca="1" si="156"/>
        <v>2.296335200746966E-2</v>
      </c>
      <c r="DE159" s="24">
        <f t="shared" ca="1" si="157"/>
        <v>4.1334033613445384E-2</v>
      </c>
      <c r="DF159" s="24">
        <f t="shared" ca="1" si="158"/>
        <v>6.8890056022408983E-2</v>
      </c>
      <c r="DG159" s="24">
        <f t="shared" ca="1" si="159"/>
        <v>0.10333508403361347</v>
      </c>
      <c r="DI159" s="19" cm="1">
        <f t="array" aca="1" ref="DI159" ca="1">MAX(_xlfn._xlws.FILTER(CT159:DG159,CT159:DG159&lt;BP159))</f>
        <v>6.2627323656735435E-3</v>
      </c>
      <c r="DJ159" s="19" cm="1">
        <f t="array" aca="1" ref="DJ159" ca="1">MIN(_xlfn._xlws.FILTER(CT159:DG159,CT159:DG159&gt;BP159))</f>
        <v>1.2157068709836879E-2</v>
      </c>
      <c r="DK159" s="2" cm="1">
        <f t="array" aca="1" ref="DK159" ca="1">_FV(EH159,"Fechamento anterior",TRUE)</f>
        <v>13.51</v>
      </c>
      <c r="DL159" s="36">
        <f ca="1">(BJ159-DM159)/(DN159-DM159)</f>
        <v>0.94673030330961805</v>
      </c>
      <c r="DM159" s="18">
        <f t="shared" ca="1" si="160"/>
        <v>13.594609514260249</v>
      </c>
      <c r="DN159" s="18">
        <f t="shared" ca="1" si="161"/>
        <v>13.674241998269896</v>
      </c>
      <c r="DO159" s="9"/>
      <c r="DP159" s="9"/>
      <c r="DQ159" s="94">
        <v>9.9728792311638489E-3</v>
      </c>
      <c r="DR159" s="94">
        <v>2.8454088995208747E-3</v>
      </c>
      <c r="DS159" s="94">
        <v>5.9299307271175623E-3</v>
      </c>
      <c r="DT159" s="94">
        <f t="shared" ca="1" si="137"/>
        <v>5.894336344163335E-3</v>
      </c>
      <c r="DU159" s="87">
        <f ca="1">(BJ159-CF159)/(CF159-CE159)</f>
        <v>0.76989735386239067</v>
      </c>
      <c r="DV159" s="46"/>
      <c r="DW159" s="43">
        <f>_xlfn.STDEV.P(BF159:BI159)</f>
        <v>0.13638181696985846</v>
      </c>
      <c r="DX159" s="76">
        <f ca="1">BO159-$DT$2</f>
        <v>-0.10740000000000005</v>
      </c>
      <c r="DY159" s="76">
        <f ca="1">BO159-BP159*100</f>
        <v>-0.29459999999999986</v>
      </c>
      <c r="DZ159" s="101"/>
      <c r="EA159" s="100">
        <v>0.22638999999999998</v>
      </c>
      <c r="EB159" s="107">
        <v>0.73539999999999983</v>
      </c>
      <c r="EC159" s="107">
        <v>-0.33460000000000001</v>
      </c>
      <c r="ED159" s="98">
        <f t="shared" ca="1" si="138"/>
        <v>0.18719999999999981</v>
      </c>
      <c r="EE159" s="66"/>
      <c r="EF159" s="66"/>
      <c r="EH159" s="2" t="e" vm="161">
        <v>#VALUE!</v>
      </c>
      <c r="EJ159" s="10" cm="1">
        <f t="array" aca="1" ref="EJ159" ca="1">_FV(EH159,"Ações em circulação",TRUE)</f>
        <v>1932592000</v>
      </c>
      <c r="EK159" s="21">
        <f>VLOOKUP(BK159,Fundamentus!A:U,5,FALSE)</f>
        <v>1.9</v>
      </c>
      <c r="EL159" s="2">
        <f ca="1">(BJ159*EJ159)/EK159</f>
        <v>13904490863.157896</v>
      </c>
      <c r="EM159" s="20">
        <v>946806318.25684226</v>
      </c>
      <c r="EN159" s="20">
        <f t="shared" ca="1" si="139"/>
        <v>958019420.47157907</v>
      </c>
      <c r="EP159" s="19">
        <f t="shared" ca="1" si="134"/>
        <v>1.1843079200592133E-2</v>
      </c>
      <c r="EQ159" s="40" t="str">
        <f>IF(VLOOKUP(BK159,Fundamentus!A:U,3,FALSE)&lt;15,"Bom",IF(VLOOKUP(BK159,Fundamentus!A:U,3,FALSE)&gt;15,"Ruim","n/a"))</f>
        <v>Ruim</v>
      </c>
      <c r="ER159" s="36" t="str">
        <f>IF(VLOOKUP(BK159,Fundamentus!A:U,4,FALSE)&lt;1,"Baixo",IF(VLOOKUP(BK159,Fundamentus!A:U,4,FALSE)&lt;1.5,"Moderado",IF(VLOOKUP(BK159,Fundamentus!A:U,4,FALSE)&gt;1.5,"Alto","n/a")))</f>
        <v>Moderado</v>
      </c>
      <c r="ES159" s="20" t="str">
        <f>IF(VLOOKUP(BK159,Fundamentus!A:U,8,FALSE)&lt;0,"Risco elevado",IF(VLOOKUP(BK159,Fundamentus!A:U,8,FALSE)&lt;1,"Saudável",IF(VLOOKUP(BK159,Fundamentus!A:U,8,FALSE)&lt;3,"Estável",IF(VLOOKUP(BK159,Fundamentus!A:U,8,FALSE)&gt;3,"Alerta","n/a"))))</f>
        <v>Alerta</v>
      </c>
      <c r="ET159" s="36" t="str">
        <f t="shared" si="140"/>
        <v>Bom</v>
      </c>
      <c r="EU159" s="20" t="str">
        <f>IF(VLOOKUP(BK159,Fundamentus!A:U,12,FALSE)&lt;2,"Subvalorizada",IF(VLOOKUP(BK159,Fundamentus!A:U,12,FALSE)&lt;6,"Muita barata",IF(VLOOKUP(BK159,Fundamentus!A:U,12,FALSE)&lt;6,"Barata",IF(VLOOKUP(BK159,Fundamentus!A:U,12,FALSE)&lt;8,"Atrativa",IF(VLOOKUP(BK159,Fundamentus!A:U,12,FALSE)&gt;8,"Supervalorizada","n/a")))))</f>
        <v>Supervalorizada</v>
      </c>
      <c r="EW159" s="20" t="str">
        <f>IF(VLOOKUP(BK159,Fundamentus!A:U,17,FALSE)&lt;0.1,"Fraco retorno",IF(VLOOKUP(BK159,Fundamentus!A:U,17,FALSE)&gt;0.1,"Bom retorno","n/a"))</f>
        <v>Fraco retorno</v>
      </c>
      <c r="EX159" s="20" t="str">
        <f>IF(VLOOKUP(BK159,Fundamentus!A:U,16,FALSE)&lt;0.1,"Ineficiente",IF(VLOOKUP(BK159,Fundamentus!A:U,16,FALSE)&gt;0.1,"Eficiente","n/a"))</f>
        <v>Ineficiente</v>
      </c>
      <c r="EY159" s="41" t="str">
        <f>IF(VLOOKUP(BK159,Fundamentus!A:U,16,FALSE)&lt;0.1,"Oper. Ineficiente",IF(VLOOKUP(BK159,Fundamentus!A:U,16,FALSE)&gt;0.1,"Oper.Eficiente","n/a"))</f>
        <v>Oper. Ineficiente</v>
      </c>
      <c r="EZ159" s="42">
        <f>VLOOKUP(BK159,Fundamentus!A:U,14,FALSE)</f>
        <v>6.8900000000000003E-2</v>
      </c>
      <c r="FA159" s="20" t="str">
        <f>IF(VLOOKUP(BK159,Fundamentus!A:U,21,FALSE)&lt;0,"Negativo",IF(VLOOKUP(BK159,Fundamentus!A:U,21,FALSE)&lt;0.05,"Fraco",IF(VLOOKUP(BK159,Fundamentus!A:U,21,FALSE)&lt;0.1,"Bom",IF(VLOOKUP(BK159,Fundamentus!A:U,21,FALSE)&gt;0.1,"Muito bom","n/a"))))</f>
        <v>Muito bom</v>
      </c>
      <c r="FC159" s="37" t="str">
        <f>IF(VLOOKUP(BK159,Fundamentus!A:U,15,FALSE)&gt;1,"Bom",IF(VLOOKUP(BK159,Fundamentus!A:U,15,FALSE)&lt;1,"Ruim","n/a"))</f>
        <v>Bom</v>
      </c>
      <c r="FD159" s="20" t="str">
        <f>IF(VLOOKUP(BK159,Fundamentus!A:U,20,FALSE)&lt;0.5,"Baixa",IF(VLOOKUP(BK159,Fundamentus!A:U,20,FALSE)&lt;1,"Moderada",IF(VLOOKUP(BK159,Fundamentus!A:U,20,FALSE)&lt;2,"Alerta",IF(VLOOKUP(BK159,Fundamentus!A:U,20,FALSE)&gt;2,"Alta","n/a"))))</f>
        <v>Alerta</v>
      </c>
      <c r="FE159" s="10"/>
    </row>
    <row r="160" spans="1:161" s="2" customFormat="1" ht="11.25" hidden="1"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8">
        <v>5</v>
      </c>
      <c r="BC160" s="62">
        <v>5.55</v>
      </c>
      <c r="BD160" s="62">
        <v>6.26</v>
      </c>
      <c r="BE160" s="62">
        <v>6.2</v>
      </c>
      <c r="BF160" s="62">
        <v>6.78</v>
      </c>
      <c r="BG160" s="81">
        <v>7.02</v>
      </c>
      <c r="BH160" s="62">
        <v>7.19</v>
      </c>
      <c r="BI160" s="62">
        <v>6.83</v>
      </c>
      <c r="BJ160" s="62" cm="1">
        <f t="array" aca="1" ref="BJ160" ca="1">_FV(EH160,"Preço")</f>
        <v>6.58</v>
      </c>
      <c r="BK160" s="83" t="s">
        <v>156</v>
      </c>
      <c r="BL160" s="44" cm="1">
        <f t="array" aca="1" ref="BL160" ca="1">_FV(EH160,"Média de volume",TRUE)</f>
        <v>948630</v>
      </c>
      <c r="BM160" s="44">
        <v>1319800</v>
      </c>
      <c r="BN160" s="44" cm="1">
        <f t="array" aca="1" ref="BN160" ca="1">_FV(EH160,"Volume")</f>
        <v>400100</v>
      </c>
      <c r="BO160" s="32" cm="1">
        <f t="array" aca="1" ref="BO160" ca="1">_FV(EH160,"Beta")</f>
        <v>2.1941999999999999</v>
      </c>
      <c r="BP160" s="86" cm="1">
        <f t="array" aca="1" ref="BP160" ca="1">_FV(EH160,"Variação (%)",TRUE)</f>
        <v>-3.6602999999999997E-2</v>
      </c>
      <c r="BQ160" s="48"/>
      <c r="BR160" s="48"/>
      <c r="BT160" s="20" cm="1">
        <f t="array" aca="1" ref="BT160" ca="1">_FV(EH160,"Baixo")</f>
        <v>6.55</v>
      </c>
      <c r="BU160" s="20" cm="1">
        <f t="array" aca="1" ref="BU160" ca="1">_FV(EH160,"Alto")</f>
        <v>6.92</v>
      </c>
      <c r="BV160" s="32"/>
      <c r="BW160" s="73">
        <f ca="1">SQRT(22.5*(BJ160/VLOOKUP(BK160,Fundamentus!A:U,3,FALSE))*(BJ160/VLOOKUP(BK160,Fundamentus!A:U,4,FALSE)))</f>
        <v>44.281911444284113</v>
      </c>
      <c r="BY160" s="72">
        <f t="shared" ca="1" si="135"/>
        <v>-3.6603221083455345E-2</v>
      </c>
      <c r="BZ160" s="8"/>
      <c r="CA160" s="71">
        <f t="shared" si="143"/>
        <v>3.79</v>
      </c>
      <c r="CB160" s="71">
        <f t="shared" si="136"/>
        <v>8.0500000000000007</v>
      </c>
      <c r="CC160" s="71">
        <f t="shared" si="144"/>
        <v>5.1670491803278678</v>
      </c>
      <c r="CD160" s="17"/>
      <c r="CE160" s="43">
        <f t="shared" si="141"/>
        <v>6.7098846358598196</v>
      </c>
      <c r="CF160" s="18">
        <f>FORECAST("04/07/2025", BF160:BI160, $BF$5:$BI$5)</f>
        <v>7.0349999999999966</v>
      </c>
      <c r="CG160" s="43">
        <f t="shared" si="142"/>
        <v>7.3601153641401735</v>
      </c>
      <c r="CI160" s="17"/>
      <c r="CJ160" s="20">
        <f>CA160-2*(CB160-CM160)</f>
        <v>0.13666666666666583</v>
      </c>
      <c r="CK160" s="20">
        <f>CM160-(CB160-CA160)</f>
        <v>1.9633333333333329</v>
      </c>
      <c r="CL160" s="20">
        <f>2*CM160-CB160</f>
        <v>4.3966666666666665</v>
      </c>
      <c r="CM160" s="48">
        <f>(CB160+CA160+BI160)/3</f>
        <v>6.2233333333333336</v>
      </c>
      <c r="CN160" s="20">
        <f>2*CM160-CA160</f>
        <v>8.6566666666666663</v>
      </c>
      <c r="CO160" s="20">
        <f>CM160+(CB160-CA160)</f>
        <v>10.483333333333334</v>
      </c>
      <c r="CP160" s="20">
        <f>CB160+2*(CM160-CA160)</f>
        <v>12.916666666666668</v>
      </c>
      <c r="CQ160" s="2" cm="1">
        <f t="array" aca="1" ref="CQ160" ca="1">MAX(_xlfn._xlws.FILTER(CJ160:CP160,CJ160:CP160&lt;BJ160))</f>
        <v>6.2233333333333336</v>
      </c>
      <c r="CR160" s="2" cm="1">
        <f t="array" aca="1" ref="CR160" ca="1">MIN(_xlfn._xlws.FILTER($CJ160:$CP160,$CJ160:$CP160&gt;BJ160))</f>
        <v>8.6566666666666663</v>
      </c>
      <c r="CS160" s="19">
        <f t="shared" ca="1" si="145"/>
        <v>0.39100160685591856</v>
      </c>
      <c r="CT160" s="23">
        <f t="shared" ca="1" si="146"/>
        <v>-0.19550080342795928</v>
      </c>
      <c r="CU160" s="23">
        <f t="shared" ca="1" si="147"/>
        <v>-0.13033386895197285</v>
      </c>
      <c r="CV160" s="23">
        <f t="shared" ca="1" si="148"/>
        <v>-7.8200321371183712E-2</v>
      </c>
      <c r="CW160" s="23">
        <f t="shared" ca="1" si="149"/>
        <v>-4.3444622983990953E-2</v>
      </c>
      <c r="CX160" s="23">
        <f t="shared" ca="1" si="150"/>
        <v>-2.3000094520936386E-2</v>
      </c>
      <c r="CY160" s="23">
        <f t="shared" ca="1" si="151"/>
        <v>-1.1848533541088441E-2</v>
      </c>
      <c r="CZ160" s="23">
        <f t="shared" ca="1" si="152"/>
        <v>-6.0154093362449011E-3</v>
      </c>
      <c r="DA160" s="24">
        <f t="shared" ca="1" si="153"/>
        <v>6.0154093362449011E-3</v>
      </c>
      <c r="DB160" s="24">
        <f t="shared" ca="1" si="154"/>
        <v>1.1848533541088441E-2</v>
      </c>
      <c r="DC160" s="24">
        <f t="shared" ca="1" si="155"/>
        <v>2.3000094520936386E-2</v>
      </c>
      <c r="DD160" s="24">
        <f t="shared" ca="1" si="156"/>
        <v>4.3444622983990953E-2</v>
      </c>
      <c r="DE160" s="24">
        <f t="shared" ca="1" si="157"/>
        <v>7.8200321371183712E-2</v>
      </c>
      <c r="DF160" s="24">
        <f t="shared" ca="1" si="158"/>
        <v>0.13033386895197285</v>
      </c>
      <c r="DG160" s="24">
        <f t="shared" ca="1" si="159"/>
        <v>0.19550080342795928</v>
      </c>
      <c r="DI160" s="19" cm="1">
        <f t="array" aca="1" ref="DI160" ca="1">MAX(_xlfn._xlws.FILTER(CT160:DG160,CT160:DG160&lt;BP160))</f>
        <v>-4.3444622983990953E-2</v>
      </c>
      <c r="DJ160" s="19" cm="1">
        <f t="array" aca="1" ref="DJ160" ca="1">MIN(_xlfn._xlws.FILTER(CT160:DG160,CT160:DG160&gt;BP160))</f>
        <v>-2.3000094520936386E-2</v>
      </c>
      <c r="DK160" s="2" cm="1">
        <f t="array" aca="1" ref="DK160" ca="1">_FV(EH160,"Fechamento anterior",TRUE)</f>
        <v>6.83</v>
      </c>
      <c r="DL160" s="36">
        <f ca="1">(BJ160-DM160)/(DN160-DM160)</f>
        <v>0.3346324134058033</v>
      </c>
      <c r="DM160" s="18">
        <f t="shared" ca="1" si="160"/>
        <v>6.5332732250193422</v>
      </c>
      <c r="DN160" s="18">
        <f t="shared" ca="1" si="161"/>
        <v>6.6729093544220044</v>
      </c>
      <c r="DO160" s="9"/>
      <c r="DP160" s="9"/>
      <c r="DQ160" s="94">
        <v>4.8158313792619912E-3</v>
      </c>
      <c r="DR160" s="94">
        <v>2.869432863476936E-2</v>
      </c>
      <c r="DS160" s="94">
        <v>1.1326539677858991E-2</v>
      </c>
      <c r="DT160" s="94">
        <f t="shared" ca="1" si="137"/>
        <v>2.0444528463054567E-2</v>
      </c>
      <c r="DU160" s="87">
        <f ca="1">(BJ160-CF160)/(CF160-CE160)</f>
        <v>-1.3995032231199582</v>
      </c>
      <c r="DV160" s="46"/>
      <c r="DW160" s="43">
        <f>_xlfn.STDEV.P(BF160:BI160)</f>
        <v>0.16255768207008861</v>
      </c>
      <c r="DX160" s="76">
        <f ca="1">BO160-$DT$2</f>
        <v>1.1970999999999998</v>
      </c>
      <c r="DY160" s="76">
        <f ca="1">BO160-BP160*100</f>
        <v>5.8544999999999998</v>
      </c>
      <c r="DZ160" s="101"/>
      <c r="EA160" s="100">
        <v>-2.5779999999999998</v>
      </c>
      <c r="EB160" s="107">
        <v>2.6522999999999999</v>
      </c>
      <c r="EC160" s="107">
        <v>0.7699999999999998</v>
      </c>
      <c r="ED160" s="98">
        <f t="shared" ca="1" si="138"/>
        <v>-4.6574</v>
      </c>
      <c r="EE160" s="66"/>
      <c r="EF160" s="66"/>
      <c r="EH160" s="2" t="e" vm="162">
        <v>#VALUE!</v>
      </c>
      <c r="EJ160" s="10" cm="1">
        <f t="array" aca="1" ref="EJ160" ca="1">_FV(EH160,"Ações em circulação",TRUE)</f>
        <v>372555300</v>
      </c>
      <c r="EK160" s="21">
        <f>VLOOKUP(BK160,Fundamentus!A:U,5,FALSE)</f>
        <v>0.17100000000000001</v>
      </c>
      <c r="EL160" s="2">
        <f ca="1">(BJ160*EJ160)/EK160</f>
        <v>14335753649.122807</v>
      </c>
      <c r="EM160" s="20">
        <v>2354083257.2035089</v>
      </c>
      <c r="EN160" s="20">
        <f t="shared" ca="1" si="139"/>
        <v>2267916227.2912283</v>
      </c>
      <c r="EP160" s="19">
        <f t="shared" ca="1" si="134"/>
        <v>-3.6603221083455262E-2</v>
      </c>
      <c r="EQ160" s="40" t="str">
        <f>IF(VLOOKUP(BK160,Fundamentus!A:U,3,FALSE)&lt;15,"Bom",IF(VLOOKUP(BK160,Fundamentus!A:U,3,FALSE)&gt;15,"Ruim","n/a"))</f>
        <v>Bom</v>
      </c>
      <c r="ER160" s="36" t="str">
        <f>IF(VLOOKUP(BK160,Fundamentus!A:U,4,FALSE)&lt;1,"Baixo",IF(VLOOKUP(BK160,Fundamentus!A:U,4,FALSE)&lt;1.5,"Moderado",IF(VLOOKUP(BK160,Fundamentus!A:U,4,FALSE)&gt;1.5,"Alto","n/a")))</f>
        <v>Baixo</v>
      </c>
      <c r="ES160" s="20" t="str">
        <f>IF(VLOOKUP(BK160,Fundamentus!A:U,8,FALSE)&lt;0,"Risco elevado",IF(VLOOKUP(BK160,Fundamentus!A:U,8,FALSE)&lt;1,"Saudável",IF(VLOOKUP(BK160,Fundamentus!A:U,8,FALSE)&lt;3,"Estável",IF(VLOOKUP(BK160,Fundamentus!A:U,8,FALSE)&gt;3,"Alerta","n/a"))))</f>
        <v>Estável</v>
      </c>
      <c r="ET160" s="36" t="str">
        <f t="shared" si="140"/>
        <v>Ruim</v>
      </c>
      <c r="EU160" s="20" t="str">
        <f>IF(VLOOKUP(BK160,Fundamentus!A:U,12,FALSE)&lt;2,"Subvalorizada",IF(VLOOKUP(BK160,Fundamentus!A:U,12,FALSE)&lt;6,"Muita barata",IF(VLOOKUP(BK160,Fundamentus!A:U,12,FALSE)&lt;6,"Barata",IF(VLOOKUP(BK160,Fundamentus!A:U,12,FALSE)&lt;8,"Atrativa",IF(VLOOKUP(BK160,Fundamentus!A:U,12,FALSE)&gt;8,"Supervalorizada","n/a")))))</f>
        <v>Muita barata</v>
      </c>
      <c r="EW160" s="20" t="str">
        <f>IF(VLOOKUP(BK160,Fundamentus!A:U,17,FALSE)&lt;0.1,"Fraco retorno",IF(VLOOKUP(BK160,Fundamentus!A:U,17,FALSE)&gt;0.1,"Bom retorno","n/a"))</f>
        <v>Bom retorno</v>
      </c>
      <c r="EX160" s="20" t="str">
        <f>IF(VLOOKUP(BK160,Fundamentus!A:U,16,FALSE)&lt;0.1,"Ineficiente",IF(VLOOKUP(BK160,Fundamentus!A:U,16,FALSE)&gt;0.1,"Eficiente","n/a"))</f>
        <v>Ineficiente</v>
      </c>
      <c r="EY160" s="41" t="str">
        <f>IF(VLOOKUP(BK160,Fundamentus!A:U,16,FALSE)&lt;0.1,"Oper. Ineficiente",IF(VLOOKUP(BK160,Fundamentus!A:U,16,FALSE)&gt;0.1,"Oper.Eficiente","n/a"))</f>
        <v>Oper. Ineficiente</v>
      </c>
      <c r="EZ160" s="42">
        <f>VLOOKUP(BK160,Fundamentus!A:U,14,FALSE)</f>
        <v>0.15820000000000001</v>
      </c>
      <c r="FA160" s="20" t="str">
        <f>IF(VLOOKUP(BK160,Fundamentus!A:U,21,FALSE)&lt;0,"Negativo",IF(VLOOKUP(BK160,Fundamentus!A:U,21,FALSE)&lt;0.05,"Fraco",IF(VLOOKUP(BK160,Fundamentus!A:U,21,FALSE)&lt;0.1,"Bom",IF(VLOOKUP(BK160,Fundamentus!A:U,21,FALSE)&gt;0.1,"Muito bom","n/a"))))</f>
        <v>Fraco</v>
      </c>
      <c r="FC160" s="37" t="str">
        <f>IF(VLOOKUP(BK160,Fundamentus!A:U,15,FALSE)&gt;1,"Bom",IF(VLOOKUP(BK160,Fundamentus!A:U,15,FALSE)&lt;1,"Ruim","n/a"))</f>
        <v>Bom</v>
      </c>
      <c r="FD160" s="20" t="str">
        <f>IF(VLOOKUP(BK160,Fundamentus!A:U,20,FALSE)&lt;0.5,"Baixa",IF(VLOOKUP(BK160,Fundamentus!A:U,20,FALSE)&lt;1,"Moderada",IF(VLOOKUP(BK160,Fundamentus!A:U,20,FALSE)&lt;2,"Alerta",IF(VLOOKUP(BK160,Fundamentus!A:U,20,FALSE)&gt;2,"Alta","n/a"))))</f>
        <v>Alerta</v>
      </c>
      <c r="FE160" s="10"/>
    </row>
    <row r="161" spans="1:161" s="2" customFormat="1" ht="11.25" hidden="1"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8">
        <v>4.08</v>
      </c>
      <c r="BC161" s="62">
        <v>4.3099999999999996</v>
      </c>
      <c r="BD161" s="62">
        <v>5.12</v>
      </c>
      <c r="BE161" s="62">
        <v>5.28</v>
      </c>
      <c r="BF161" s="62">
        <v>4.97</v>
      </c>
      <c r="BG161" s="81">
        <v>5.2</v>
      </c>
      <c r="BH161" s="62">
        <v>5.17</v>
      </c>
      <c r="BI161" s="62">
        <v>5.0999999999999996</v>
      </c>
      <c r="BJ161" s="62" cm="1">
        <f t="array" aca="1" ref="BJ161" ca="1">_FV(EH161,"Preço")</f>
        <v>5.1100000000000003</v>
      </c>
      <c r="BK161" s="83" t="s">
        <v>157</v>
      </c>
      <c r="BL161" s="44" cm="1">
        <f t="array" aca="1" ref="BL161" ca="1">_FV(EH161,"Média de volume",TRUE)</f>
        <v>268240</v>
      </c>
      <c r="BM161" s="44">
        <v>417700</v>
      </c>
      <c r="BN161" s="44" cm="1">
        <f t="array" aca="1" ref="BN161" ca="1">_FV(EH161,"Volume")</f>
        <v>169400</v>
      </c>
      <c r="BO161" s="32" cm="1">
        <f t="array" aca="1" ref="BO161" ca="1">_FV(EH161,"Beta")</f>
        <v>2.3512</v>
      </c>
      <c r="BP161" s="86" cm="1">
        <f t="array" aca="1" ref="BP161" ca="1">_FV(EH161,"Variação (%)",TRUE)</f>
        <v>1.9610000000000001E-3</v>
      </c>
      <c r="BQ161" s="48"/>
      <c r="BR161" s="48"/>
      <c r="BT161" s="20" cm="1">
        <f t="array" aca="1" ref="BT161" ca="1">_FV(EH161,"Baixo")</f>
        <v>5.04</v>
      </c>
      <c r="BU161" s="20" cm="1">
        <f t="array" aca="1" ref="BU161" ca="1">_FV(EH161,"Alto")</f>
        <v>5.17</v>
      </c>
      <c r="BV161" s="32"/>
      <c r="BW161" s="73">
        <f ca="1">SQRT(22.5*(BJ161/VLOOKUP(BK161,Fundamentus!A:U,3,FALSE))*(BJ161/VLOOKUP(BK161,Fundamentus!A:U,4,FALSE)))</f>
        <v>6.9851167204411313</v>
      </c>
      <c r="BY161" s="72">
        <f t="shared" ca="1" si="135"/>
        <v>1.9607843137256229E-3</v>
      </c>
      <c r="BZ161" s="8"/>
      <c r="CA161" s="71">
        <f t="shared" si="143"/>
        <v>2.99</v>
      </c>
      <c r="CB161" s="71">
        <f t="shared" si="136"/>
        <v>5.28</v>
      </c>
      <c r="CC161" s="71">
        <f t="shared" si="144"/>
        <v>3.8106557377049182</v>
      </c>
      <c r="CD161" s="17"/>
      <c r="CE161" s="43">
        <f t="shared" si="141"/>
        <v>5.0227995485333237</v>
      </c>
      <c r="CF161" s="18">
        <f>FORECAST("04/07/2025", BF161:BI161, $BF$5:$BI$5)</f>
        <v>5.2000000000000171</v>
      </c>
      <c r="CG161" s="43">
        <f t="shared" si="142"/>
        <v>5.3772004514667104</v>
      </c>
      <c r="CI161" s="17"/>
      <c r="CJ161" s="20">
        <f>CA161-2*(CB161-CM161)</f>
        <v>1.3433333333333319</v>
      </c>
      <c r="CK161" s="20">
        <f>CM161-(CB161-CA161)</f>
        <v>2.1666666666666661</v>
      </c>
      <c r="CL161" s="20">
        <f>2*CM161-CB161</f>
        <v>3.633333333333332</v>
      </c>
      <c r="CM161" s="48">
        <f>(CB161+CA161+BI161)/3</f>
        <v>4.4566666666666661</v>
      </c>
      <c r="CN161" s="20">
        <f>2*CM161-CA161</f>
        <v>5.923333333333332</v>
      </c>
      <c r="CO161" s="20">
        <f>CM161+(CB161-CA161)</f>
        <v>6.7466666666666661</v>
      </c>
      <c r="CP161" s="20">
        <f>CB161+2*(CM161-CA161)</f>
        <v>8.2133333333333312</v>
      </c>
      <c r="CQ161" s="2" cm="1">
        <f t="array" aca="1" ref="CQ161" ca="1">MAX(_xlfn._xlws.FILTER(CJ161:CP161,CJ161:CP161&lt;BJ161))</f>
        <v>4.4566666666666661</v>
      </c>
      <c r="CR161" s="2" cm="1">
        <f t="array" aca="1" ref="CR161" ca="1">MIN(_xlfn._xlws.FILTER($CJ161:$CP161,$CJ161:$CP161&gt;BJ161))</f>
        <v>5.923333333333332</v>
      </c>
      <c r="CS161" s="19">
        <f t="shared" ca="1" si="145"/>
        <v>0.32909498878085253</v>
      </c>
      <c r="CT161" s="23">
        <f t="shared" ca="1" si="146"/>
        <v>-0.16454749439042626</v>
      </c>
      <c r="CU161" s="23">
        <f t="shared" ca="1" si="147"/>
        <v>-0.10969832959361751</v>
      </c>
      <c r="CV161" s="23">
        <f t="shared" ca="1" si="148"/>
        <v>-6.5818997756170505E-2</v>
      </c>
      <c r="CW161" s="23">
        <f t="shared" ca="1" si="149"/>
        <v>-3.6566109864539169E-2</v>
      </c>
      <c r="CX161" s="23">
        <f t="shared" ca="1" si="150"/>
        <v>-1.9358528751814853E-2</v>
      </c>
      <c r="CY161" s="23">
        <f t="shared" ca="1" si="151"/>
        <v>-9.9725754176015913E-3</v>
      </c>
      <c r="CZ161" s="23">
        <f t="shared" ca="1" si="152"/>
        <v>-5.0629998273977314E-3</v>
      </c>
      <c r="DA161" s="24">
        <f t="shared" ca="1" si="153"/>
        <v>5.0629998273977314E-3</v>
      </c>
      <c r="DB161" s="24">
        <f t="shared" ca="1" si="154"/>
        <v>9.9725754176015913E-3</v>
      </c>
      <c r="DC161" s="24">
        <f t="shared" ca="1" si="155"/>
        <v>1.9358528751814853E-2</v>
      </c>
      <c r="DD161" s="24">
        <f t="shared" ca="1" si="156"/>
        <v>3.6566109864539169E-2</v>
      </c>
      <c r="DE161" s="24">
        <f t="shared" ca="1" si="157"/>
        <v>6.5818997756170505E-2</v>
      </c>
      <c r="DF161" s="24">
        <f t="shared" ca="1" si="158"/>
        <v>0.10969832959361751</v>
      </c>
      <c r="DG161" s="24">
        <f t="shared" ca="1" si="159"/>
        <v>0.16454749439042626</v>
      </c>
      <c r="DI161" s="19" cm="1">
        <f t="array" aca="1" ref="DI161" ca="1">MAX(_xlfn._xlws.FILTER(CT161:DG161,CT161:DG161&lt;BP161))</f>
        <v>-5.0629998273977314E-3</v>
      </c>
      <c r="DJ161" s="19" cm="1">
        <f t="array" aca="1" ref="DJ161" ca="1">MIN(_xlfn._xlws.FILTER(CT161:DG161,CT161:DG161&gt;BP161))</f>
        <v>5.0629998273977314E-3</v>
      </c>
      <c r="DK161" s="2" cm="1">
        <f t="array" aca="1" ref="DK161" ca="1">_FV(EH161,"Fechamento anterior",TRUE)</f>
        <v>5.0999999999999996</v>
      </c>
      <c r="DL161" s="36">
        <f ca="1">(BJ161-DM161)/(DN161-DM161)</f>
        <v>0.69363859180036813</v>
      </c>
      <c r="DM161" s="18">
        <f t="shared" ca="1" si="160"/>
        <v>5.074178700880271</v>
      </c>
      <c r="DN161" s="18">
        <f t="shared" ca="1" si="161"/>
        <v>5.1258212991197283</v>
      </c>
      <c r="DO161" s="9"/>
      <c r="DP161" s="9"/>
      <c r="DQ161" s="94">
        <v>9.2235633219239742E-3</v>
      </c>
      <c r="DR161" s="94">
        <v>1.5674029174511328E-2</v>
      </c>
      <c r="DS161" s="94">
        <v>1.7468011703567835E-2</v>
      </c>
      <c r="DT161" s="94">
        <f t="shared" ca="1" si="137"/>
        <v>1.0125999654795463E-2</v>
      </c>
      <c r="DU161" s="87">
        <f ca="1">(BJ161-CF161)/(CF161-CE161)</f>
        <v>-0.50789938318488503</v>
      </c>
      <c r="DV161" s="46"/>
      <c r="DW161" s="43">
        <f>_xlfn.STDEV.P(BF161:BI161)</f>
        <v>8.8600225733346902E-2</v>
      </c>
      <c r="DX161" s="76">
        <f ca="1">BO161-$DT$2</f>
        <v>1.3540999999999999</v>
      </c>
      <c r="DY161" s="76">
        <f ca="1">BO161-BP161*100</f>
        <v>2.1551</v>
      </c>
      <c r="DZ161" s="101"/>
      <c r="EA161" s="100">
        <v>0.29870000000000019</v>
      </c>
      <c r="EB161" s="107">
        <v>-1.3945999999999996</v>
      </c>
      <c r="EC161" s="107">
        <v>-1.7422000000000004</v>
      </c>
      <c r="ED161" s="98">
        <f t="shared" ca="1" si="138"/>
        <v>-0.80100000000000016</v>
      </c>
      <c r="EE161" s="66"/>
      <c r="EF161" s="66"/>
      <c r="EH161" s="2" t="e" vm="163">
        <v>#VALUE!</v>
      </c>
      <c r="EJ161" s="10" cm="1">
        <f t="array" aca="1" ref="EJ161" ca="1">_FV(EH161,"Ações em circulação",TRUE)</f>
        <v>364542500</v>
      </c>
      <c r="EK161" s="21">
        <f>VLOOKUP(BK161,Fundamentus!A:U,5,FALSE)</f>
        <v>0.72099999999999997</v>
      </c>
      <c r="EL161" s="2">
        <f ca="1">(BJ161*EJ161)/EK161</f>
        <v>2583650728.1553397</v>
      </c>
      <c r="EM161" s="20">
        <v>188237410.19417471</v>
      </c>
      <c r="EN161" s="20">
        <f t="shared" ca="1" si="139"/>
        <v>188606503.15533978</v>
      </c>
      <c r="EP161" s="19">
        <f t="shared" ca="1" si="134"/>
        <v>1.9607843137257053E-3</v>
      </c>
      <c r="EQ161" s="40" t="str">
        <f>IF(VLOOKUP(BK161,Fundamentus!A:U,3,FALSE)&lt;15,"Bom",IF(VLOOKUP(BK161,Fundamentus!A:U,3,FALSE)&gt;15,"Ruim","n/a"))</f>
        <v>Bom</v>
      </c>
      <c r="ER161" s="36" t="str">
        <f>IF(VLOOKUP(BK161,Fundamentus!A:U,4,FALSE)&lt;1,"Baixo",IF(VLOOKUP(BK161,Fundamentus!A:U,4,FALSE)&lt;1.5,"Moderado",IF(VLOOKUP(BK161,Fundamentus!A:U,4,FALSE)&gt;1.5,"Alto","n/a")))</f>
        <v>Moderado</v>
      </c>
      <c r="ES161" s="20" t="str">
        <f>IF(VLOOKUP(BK161,Fundamentus!A:U,8,FALSE)&lt;0,"Risco elevado",IF(VLOOKUP(BK161,Fundamentus!A:U,8,FALSE)&lt;1,"Saudável",IF(VLOOKUP(BK161,Fundamentus!A:U,8,FALSE)&lt;3,"Estável",IF(VLOOKUP(BK161,Fundamentus!A:U,8,FALSE)&gt;3,"Alerta","n/a"))))</f>
        <v>Alerta</v>
      </c>
      <c r="ET161" s="36" t="str">
        <f t="shared" si="140"/>
        <v>Ruim</v>
      </c>
      <c r="EU161" s="20" t="str">
        <f>IF(VLOOKUP(BK161,Fundamentus!A:U,12,FALSE)&lt;2,"Subvalorizada",IF(VLOOKUP(BK161,Fundamentus!A:U,12,FALSE)&lt;6,"Muita barata",IF(VLOOKUP(BK161,Fundamentus!A:U,12,FALSE)&lt;6,"Barata",IF(VLOOKUP(BK161,Fundamentus!A:U,12,FALSE)&lt;8,"Atrativa",IF(VLOOKUP(BK161,Fundamentus!A:U,12,FALSE)&gt;8,"Supervalorizada","n/a")))))</f>
        <v>Muita barata</v>
      </c>
      <c r="EW161" s="20" t="str">
        <f>IF(VLOOKUP(BK161,Fundamentus!A:U,17,FALSE)&lt;0.1,"Fraco retorno",IF(VLOOKUP(BK161,Fundamentus!A:U,17,FALSE)&gt;0.1,"Bom retorno","n/a"))</f>
        <v>Bom retorno</v>
      </c>
      <c r="EX161" s="20" t="str">
        <f>IF(VLOOKUP(BK161,Fundamentus!A:U,16,FALSE)&lt;0.1,"Ineficiente",IF(VLOOKUP(BK161,Fundamentus!A:U,16,FALSE)&gt;0.1,"Eficiente","n/a"))</f>
        <v>Eficiente</v>
      </c>
      <c r="EY161" s="41" t="str">
        <f>IF(VLOOKUP(BK161,Fundamentus!A:U,16,FALSE)&lt;0.1,"Oper. Ineficiente",IF(VLOOKUP(BK161,Fundamentus!A:U,16,FALSE)&gt;0.1,"Oper.Eficiente","n/a"))</f>
        <v>Oper.Eficiente</v>
      </c>
      <c r="EZ161" s="42">
        <f>VLOOKUP(BK161,Fundamentus!A:U,14,FALSE)</f>
        <v>7.2999999999999995E-2</v>
      </c>
      <c r="FA161" s="20" t="str">
        <f>IF(VLOOKUP(BK161,Fundamentus!A:U,21,FALSE)&lt;0,"Negativo",IF(VLOOKUP(BK161,Fundamentus!A:U,21,FALSE)&lt;0.05,"Fraco",IF(VLOOKUP(BK161,Fundamentus!A:U,21,FALSE)&lt;0.1,"Bom",IF(VLOOKUP(BK161,Fundamentus!A:U,21,FALSE)&gt;0.1,"Muito bom","n/a"))))</f>
        <v>Muito bom</v>
      </c>
      <c r="FC161" s="37" t="str">
        <f>IF(VLOOKUP(BK161,Fundamentus!A:U,15,FALSE)&gt;1,"Bom",IF(VLOOKUP(BK161,Fundamentus!A:U,15,FALSE)&lt;1,"Ruim","n/a"))</f>
        <v>Bom</v>
      </c>
      <c r="FD161" s="20" t="str">
        <f>IF(VLOOKUP(BK161,Fundamentus!A:U,20,FALSE)&lt;0.5,"Baixa",IF(VLOOKUP(BK161,Fundamentus!A:U,20,FALSE)&lt;1,"Moderada",IF(VLOOKUP(BK161,Fundamentus!A:U,20,FALSE)&lt;2,"Alerta",IF(VLOOKUP(BK161,Fundamentus!A:U,20,FALSE)&gt;2,"Alta","n/a"))))</f>
        <v>Moderada</v>
      </c>
      <c r="FE161" s="10"/>
    </row>
    <row r="162" spans="1:161" s="2" customFormat="1" ht="11.25" hidden="1"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8">
        <v>26.02</v>
      </c>
      <c r="BC162" s="62">
        <v>25.84</v>
      </c>
      <c r="BD162" s="62">
        <v>25.9</v>
      </c>
      <c r="BE162" s="62">
        <v>26.88</v>
      </c>
      <c r="BF162" s="62">
        <v>26.26</v>
      </c>
      <c r="BG162" s="81">
        <v>25.7</v>
      </c>
      <c r="BH162" s="62">
        <v>25.85</v>
      </c>
      <c r="BI162" s="62">
        <v>27.04</v>
      </c>
      <c r="BJ162" s="62" cm="1">
        <f t="array" aca="1" ref="BJ162" ca="1">_FV(EH162,"Preço")</f>
        <v>27</v>
      </c>
      <c r="BK162" s="83" t="s">
        <v>158</v>
      </c>
      <c r="BL162" s="44" cm="1">
        <f t="array" aca="1" ref="BL162" ca="1">_FV(EH162,"Média de volume",TRUE)</f>
        <v>4005000</v>
      </c>
      <c r="BM162" s="44">
        <v>2983400</v>
      </c>
      <c r="BN162" s="44" cm="1">
        <f t="array" aca="1" ref="BN162" ca="1">_FV(EH162,"Volume")</f>
        <v>2269800</v>
      </c>
      <c r="BO162" s="32" cm="1">
        <f t="array" aca="1" ref="BO162" ca="1">_FV(EH162,"Beta")</f>
        <v>1.0015000000000001</v>
      </c>
      <c r="BP162" s="86" cm="1">
        <f t="array" aca="1" ref="BP162" ca="1">_FV(EH162,"Variação (%)",TRUE)</f>
        <v>6.3360000000000005E-3</v>
      </c>
      <c r="BQ162" s="48"/>
      <c r="BR162" s="48"/>
      <c r="BT162" s="20" cm="1">
        <f t="array" aca="1" ref="BT162" ca="1">_FV(EH162,"Baixo")</f>
        <v>26.79</v>
      </c>
      <c r="BU162" s="20" cm="1">
        <f t="array" aca="1" ref="BU162" ca="1">_FV(EH162,"Alto")</f>
        <v>27.29</v>
      </c>
      <c r="BV162" s="32"/>
      <c r="BW162" s="73">
        <f ca="1">SQRT(22.5*(BJ162/VLOOKUP(BK162,Fundamentus!A:U,3,FALSE))*(BJ162/VLOOKUP(BK162,Fundamentus!A:U,4,FALSE)))</f>
        <v>26.598726210569648</v>
      </c>
      <c r="BY162" s="72">
        <f t="shared" ca="1" si="135"/>
        <v>-1.4792899408283709E-3</v>
      </c>
      <c r="BZ162" s="8"/>
      <c r="CA162" s="71">
        <f t="shared" si="143"/>
        <v>20.239999999999998</v>
      </c>
      <c r="CB162" s="71">
        <f t="shared" si="136"/>
        <v>27.52</v>
      </c>
      <c r="CC162" s="71">
        <f t="shared" si="144"/>
        <v>24.099180327868854</v>
      </c>
      <c r="CD162" s="17"/>
      <c r="CE162" s="43">
        <f t="shared" si="141"/>
        <v>25.795252434482329</v>
      </c>
      <c r="CF162" s="18">
        <f>FORECAST("04/07/2025", BF162:BI162, $BF$5:$BI$5)</f>
        <v>26.835000000000036</v>
      </c>
      <c r="CG162" s="43">
        <f t="shared" si="142"/>
        <v>27.874747565517744</v>
      </c>
      <c r="CI162" s="17"/>
      <c r="CJ162" s="20">
        <f>CA162-2*(CB162-CM162)</f>
        <v>15.066666666666666</v>
      </c>
      <c r="CK162" s="20">
        <f>CM162-(CB162-CA162)</f>
        <v>17.653333333333332</v>
      </c>
      <c r="CL162" s="20">
        <f>2*CM162-CB162</f>
        <v>22.346666666666668</v>
      </c>
      <c r="CM162" s="48">
        <f>(CB162+CA162+BI162)/3</f>
        <v>24.933333333333334</v>
      </c>
      <c r="CN162" s="20">
        <f>2*CM162-CA162</f>
        <v>29.626666666666669</v>
      </c>
      <c r="CO162" s="20">
        <f>CM162+(CB162-CA162)</f>
        <v>32.213333333333338</v>
      </c>
      <c r="CP162" s="20">
        <f>CB162+2*(CM162-CA162)</f>
        <v>36.906666666666666</v>
      </c>
      <c r="CQ162" s="2" cm="1">
        <f t="array" aca="1" ref="CQ162" ca="1">MAX(_xlfn._xlws.FILTER(CJ162:CP162,CJ162:CP162&lt;BJ162))</f>
        <v>24.933333333333334</v>
      </c>
      <c r="CR162" s="2" cm="1">
        <f t="array" aca="1" ref="CR162" ca="1">MIN(_xlfn._xlws.FILTER($CJ162:$CP162,$CJ162:$CP162&gt;BJ162))</f>
        <v>29.626666666666669</v>
      </c>
      <c r="CS162" s="19">
        <f t="shared" ca="1" si="145"/>
        <v>0.18823529411764706</v>
      </c>
      <c r="CT162" s="23">
        <f t="shared" ca="1" si="146"/>
        <v>-9.4117647058823528E-2</v>
      </c>
      <c r="CU162" s="23">
        <f t="shared" ca="1" si="147"/>
        <v>-6.2745098039215685E-2</v>
      </c>
      <c r="CV162" s="23">
        <f t="shared" ca="1" si="148"/>
        <v>-3.7647058823529408E-2</v>
      </c>
      <c r="CW162" s="23">
        <f t="shared" ca="1" si="149"/>
        <v>-2.0915032679738561E-2</v>
      </c>
      <c r="CX162" s="23">
        <f t="shared" ca="1" si="150"/>
        <v>-1.1072664359861591E-2</v>
      </c>
      <c r="CY162" s="23">
        <f t="shared" ca="1" si="151"/>
        <v>-5.7040998217468804E-3</v>
      </c>
      <c r="CZ162" s="23">
        <f t="shared" ca="1" si="152"/>
        <v>-2.8959276018099547E-3</v>
      </c>
      <c r="DA162" s="24">
        <f t="shared" ca="1" si="153"/>
        <v>2.8959276018099547E-3</v>
      </c>
      <c r="DB162" s="24">
        <f t="shared" ca="1" si="154"/>
        <v>5.7040998217468804E-3</v>
      </c>
      <c r="DC162" s="24">
        <f t="shared" ca="1" si="155"/>
        <v>1.1072664359861591E-2</v>
      </c>
      <c r="DD162" s="24">
        <f t="shared" ca="1" si="156"/>
        <v>2.0915032679738561E-2</v>
      </c>
      <c r="DE162" s="24">
        <f t="shared" ca="1" si="157"/>
        <v>3.7647058823529408E-2</v>
      </c>
      <c r="DF162" s="24">
        <f t="shared" ca="1" si="158"/>
        <v>6.2745098039215685E-2</v>
      </c>
      <c r="DG162" s="24">
        <f t="shared" ca="1" si="159"/>
        <v>9.4117647058823528E-2</v>
      </c>
      <c r="DI162" s="19" cm="1">
        <f t="array" aca="1" ref="DI162" ca="1">MAX(_xlfn._xlws.FILTER(CT162:DG162,CT162:DG162&lt;BP162))</f>
        <v>5.7040998217468804E-3</v>
      </c>
      <c r="DJ162" s="19" cm="1">
        <f t="array" aca="1" ref="DJ162" ca="1">MIN(_xlfn._xlws.FILTER(CT162:DG162,CT162:DG162&gt;BP162))</f>
        <v>1.1072664359861591E-2</v>
      </c>
      <c r="DK162" s="2" cm="1">
        <f t="array" aca="1" ref="DK162" ca="1">_FV(EH162,"Fechamento anterior",TRUE)</f>
        <v>26.83</v>
      </c>
      <c r="DL162" s="36">
        <f ca="1">(BJ162-DM162)/(DN162-DM162)</f>
        <v>0.11773929603056497</v>
      </c>
      <c r="DM162" s="18">
        <f t="shared" ca="1" si="160"/>
        <v>26.983040998217469</v>
      </c>
      <c r="DN162" s="18">
        <f t="shared" ca="1" si="161"/>
        <v>27.127079584775085</v>
      </c>
      <c r="DO162" s="9"/>
      <c r="DP162" s="9"/>
      <c r="DQ162" s="94">
        <v>8.4111035237754601E-3</v>
      </c>
      <c r="DR162" s="94">
        <v>4.9496109197601753E-3</v>
      </c>
      <c r="DS162" s="94">
        <v>9.0681158569244965E-3</v>
      </c>
      <c r="DT162" s="94">
        <f t="shared" ca="1" si="137"/>
        <v>5.3685645381147109E-3</v>
      </c>
      <c r="DU162" s="87">
        <f ca="1">(BJ162-CF162)/(CF162-CE162)</f>
        <v>0.15869236483165738</v>
      </c>
      <c r="DV162" s="46"/>
      <c r="DW162" s="43">
        <f>_xlfn.STDEV.P(BF162:BI162)</f>
        <v>0.51987378275885354</v>
      </c>
      <c r="DX162" s="76">
        <f ca="1">BO162-$DT$2</f>
        <v>4.3999999999999595E-3</v>
      </c>
      <c r="DY162" s="76">
        <f ca="1">BO162-BP162*100</f>
        <v>0.3679</v>
      </c>
      <c r="DZ162" s="101"/>
      <c r="EA162" s="100">
        <v>1.3776999999999999</v>
      </c>
      <c r="EB162" s="107">
        <v>-0.20679999999999987</v>
      </c>
      <c r="EC162" s="107">
        <v>-0.18759999999999999</v>
      </c>
      <c r="ED162" s="98">
        <f t="shared" ca="1" si="138"/>
        <v>-0.36350000000000005</v>
      </c>
      <c r="EE162" s="66"/>
      <c r="EF162" s="66"/>
      <c r="EH162" s="2" t="e" vm="164">
        <v>#VALUE!</v>
      </c>
      <c r="EJ162" s="10" cm="1">
        <f t="array" aca="1" ref="EJ162" ca="1">_FV(EH162,"Ações em circulação",TRUE)</f>
        <v>513163700</v>
      </c>
      <c r="EK162" s="21">
        <f>VLOOKUP(BK162,Fundamentus!A:U,5,FALSE)</f>
        <v>5.1779999999999999</v>
      </c>
      <c r="EL162" s="2">
        <f ca="1">(BJ162*EJ162)/EK162</f>
        <v>2675824623.4067206</v>
      </c>
      <c r="EM162" s="20">
        <v>1376339531.806257</v>
      </c>
      <c r="EN162" s="20">
        <f t="shared" ca="1" si="139"/>
        <v>1374303526.5816915</v>
      </c>
      <c r="EP162" s="19">
        <f t="shared" ca="1" si="134"/>
        <v>-1.4792899408284654E-3</v>
      </c>
      <c r="EQ162" s="40" t="str">
        <f>IF(VLOOKUP(BK162,Fundamentus!A:U,3,FALSE)&lt;15,"Bom",IF(VLOOKUP(BK162,Fundamentus!A:U,3,FALSE)&gt;15,"Ruim","n/a"))</f>
        <v>Bom</v>
      </c>
      <c r="ER162" s="36" t="str">
        <f>IF(VLOOKUP(BK162,Fundamentus!A:U,4,FALSE)&lt;1,"Baixo",IF(VLOOKUP(BK162,Fundamentus!A:U,4,FALSE)&lt;1.5,"Moderado",IF(VLOOKUP(BK162,Fundamentus!A:U,4,FALSE)&gt;1.5,"Alto","n/a")))</f>
        <v>Alto</v>
      </c>
      <c r="ES162" s="20" t="str">
        <f>IF(VLOOKUP(BK162,Fundamentus!A:U,8,FALSE)&lt;0,"Risco elevado",IF(VLOOKUP(BK162,Fundamentus!A:U,8,FALSE)&lt;1,"Saudável",IF(VLOOKUP(BK162,Fundamentus!A:U,8,FALSE)&lt;3,"Estável",IF(VLOOKUP(BK162,Fundamentus!A:U,8,FALSE)&gt;3,"Alerta","n/a"))))</f>
        <v>Alerta</v>
      </c>
      <c r="ET162" s="36" t="str">
        <f t="shared" si="140"/>
        <v>Bom</v>
      </c>
      <c r="EU162" s="20" t="str">
        <f>IF(VLOOKUP(BK162,Fundamentus!A:U,12,FALSE)&lt;2,"Subvalorizada",IF(VLOOKUP(BK162,Fundamentus!A:U,12,FALSE)&lt;6,"Muita barata",IF(VLOOKUP(BK162,Fundamentus!A:U,12,FALSE)&lt;6,"Barata",IF(VLOOKUP(BK162,Fundamentus!A:U,12,FALSE)&lt;8,"Atrativa",IF(VLOOKUP(BK162,Fundamentus!A:U,12,FALSE)&gt;8,"Supervalorizada","n/a")))))</f>
        <v>Supervalorizada</v>
      </c>
      <c r="EW162" s="20" t="str">
        <f>IF(VLOOKUP(BK162,Fundamentus!A:U,17,FALSE)&lt;0.1,"Fraco retorno",IF(VLOOKUP(BK162,Fundamentus!A:U,17,FALSE)&gt;0.1,"Bom retorno","n/a"))</f>
        <v>Bom retorno</v>
      </c>
      <c r="EX162" s="20" t="str">
        <f>IF(VLOOKUP(BK162,Fundamentus!A:U,16,FALSE)&lt;0.1,"Ineficiente",IF(VLOOKUP(BK162,Fundamentus!A:U,16,FALSE)&gt;0.1,"Eficiente","n/a"))</f>
        <v>Eficiente</v>
      </c>
      <c r="EY162" s="41" t="str">
        <f>IF(VLOOKUP(BK162,Fundamentus!A:U,16,FALSE)&lt;0.1,"Oper. Ineficiente",IF(VLOOKUP(BK162,Fundamentus!A:U,16,FALSE)&gt;0.1,"Oper.Eficiente","n/a"))</f>
        <v>Oper.Eficiente</v>
      </c>
      <c r="EZ162" s="42">
        <f>VLOOKUP(BK162,Fundamentus!A:U,14,FALSE)</f>
        <v>0.51359999999999995</v>
      </c>
      <c r="FA162" s="20" t="str">
        <f>IF(VLOOKUP(BK162,Fundamentus!A:U,21,FALSE)&lt;0,"Negativo",IF(VLOOKUP(BK162,Fundamentus!A:U,21,FALSE)&lt;0.05,"Fraco",IF(VLOOKUP(BK162,Fundamentus!A:U,21,FALSE)&lt;0.1,"Bom",IF(VLOOKUP(BK162,Fundamentus!A:U,21,FALSE)&gt;0.1,"Muito bom","n/a"))))</f>
        <v>Muito bom</v>
      </c>
      <c r="FC162" s="37" t="str">
        <f>IF(VLOOKUP(BK162,Fundamentus!A:U,15,FALSE)&gt;1,"Bom",IF(VLOOKUP(BK162,Fundamentus!A:U,15,FALSE)&lt;1,"Ruim","n/a"))</f>
        <v>Bom</v>
      </c>
      <c r="FD162" s="20" t="str">
        <f>IF(VLOOKUP(BK162,Fundamentus!A:U,20,FALSE)&lt;0.5,"Baixa",IF(VLOOKUP(BK162,Fundamentus!A:U,20,FALSE)&lt;1,"Moderada",IF(VLOOKUP(BK162,Fundamentus!A:U,20,FALSE)&lt;2,"Alerta",IF(VLOOKUP(BK162,Fundamentus!A:U,20,FALSE)&gt;2,"Alta","n/a"))))</f>
        <v>Moderada</v>
      </c>
      <c r="FE162" s="10"/>
    </row>
    <row r="163" spans="1:161" s="2" customFormat="1" ht="11.25" hidden="1"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8">
        <v>9.31</v>
      </c>
      <c r="BC163" s="62">
        <v>9.4499999999999993</v>
      </c>
      <c r="BD163" s="62">
        <v>9.48</v>
      </c>
      <c r="BE163" s="62">
        <v>9.8800000000000008</v>
      </c>
      <c r="BF163" s="62">
        <v>9.9</v>
      </c>
      <c r="BG163" s="81">
        <v>10.02</v>
      </c>
      <c r="BH163" s="62">
        <v>9.8000000000000007</v>
      </c>
      <c r="BI163" s="62">
        <v>9.98</v>
      </c>
      <c r="BJ163" s="62" cm="1">
        <f t="array" aca="1" ref="BJ163" ca="1">_FV(EH163,"Preço")</f>
        <v>10.1</v>
      </c>
      <c r="BK163" s="83" t="s">
        <v>87</v>
      </c>
      <c r="BL163" s="44" cm="1">
        <f t="array" aca="1" ref="BL163" ca="1">_FV(EH163,"Média de volume",TRUE)</f>
        <v>4348850</v>
      </c>
      <c r="BM163" s="44">
        <v>2877100</v>
      </c>
      <c r="BN163" s="44" cm="1">
        <f t="array" aca="1" ref="BN163" ca="1">_FV(EH163,"Volume")</f>
        <v>832900</v>
      </c>
      <c r="BO163" s="32" cm="1">
        <f t="array" aca="1" ref="BO163" ca="1">_FV(EH163,"Beta")</f>
        <v>0.47499999999999998</v>
      </c>
      <c r="BP163" s="86" cm="1">
        <f t="array" aca="1" ref="BP163" ca="1">_FV(EH163,"Variação (%)",TRUE)</f>
        <v>1.2024E-2</v>
      </c>
      <c r="BQ163" s="48"/>
      <c r="BR163" s="48"/>
      <c r="BT163" s="20" cm="1">
        <f t="array" aca="1" ref="BT163" ca="1">_FV(EH163,"Baixo")</f>
        <v>9.9</v>
      </c>
      <c r="BU163" s="20" cm="1">
        <f t="array" aca="1" ref="BU163" ca="1">_FV(EH163,"Alto")</f>
        <v>10.15</v>
      </c>
      <c r="BV163" s="32"/>
      <c r="BW163" s="73">
        <f ca="1">SQRT(22.5*(BJ163/VLOOKUP(BK163,Fundamentus!A:U,3,FALSE))*(BJ163/VLOOKUP(BK163,Fundamentus!A:U,4,FALSE)))</f>
        <v>1.267080459762294</v>
      </c>
      <c r="BY163" s="72">
        <f t="shared" ca="1" si="135"/>
        <v>1.2024048096192307E-2</v>
      </c>
      <c r="BZ163" s="8"/>
      <c r="CA163" s="71">
        <f t="shared" si="143"/>
        <v>7.59</v>
      </c>
      <c r="CB163" s="71">
        <f t="shared" si="136"/>
        <v>12.48</v>
      </c>
      <c r="CC163" s="71">
        <f t="shared" si="144"/>
        <v>9.9874590163934407</v>
      </c>
      <c r="CD163" s="17"/>
      <c r="CE163" s="43">
        <f t="shared" si="141"/>
        <v>9.7617739615873944</v>
      </c>
      <c r="CF163" s="18">
        <f>FORECAST("04/07/2025", BF163:BI163, $BF$5:$BI$5)</f>
        <v>9.9300000000000015</v>
      </c>
      <c r="CG163" s="43">
        <f t="shared" si="142"/>
        <v>10.098226038412609</v>
      </c>
      <c r="CI163" s="17"/>
      <c r="CJ163" s="20">
        <f>CA163-2*(CB163-CM163)</f>
        <v>2.663333333333334</v>
      </c>
      <c r="CK163" s="20">
        <f>CM163-(CB163-CA163)</f>
        <v>5.1266666666666669</v>
      </c>
      <c r="CL163" s="20">
        <f>2*CM163-CB163</f>
        <v>7.5533333333333346</v>
      </c>
      <c r="CM163" s="48">
        <f>(CB163+CA163+BI163)/3</f>
        <v>10.016666666666667</v>
      </c>
      <c r="CN163" s="20">
        <f>2*CM163-CA163</f>
        <v>12.443333333333335</v>
      </c>
      <c r="CO163" s="20">
        <f>CM163+(CB163-CA163)</f>
        <v>14.906666666666668</v>
      </c>
      <c r="CP163" s="20">
        <f>CB163+2*(CM163-CA163)</f>
        <v>17.333333333333336</v>
      </c>
      <c r="CQ163" s="2" cm="1">
        <f t="array" aca="1" ref="CQ163" ca="1">MAX(_xlfn._xlws.FILTER(CJ163:CP163,CJ163:CP163&lt;BJ163))</f>
        <v>10.016666666666667</v>
      </c>
      <c r="CR163" s="2" cm="1">
        <f t="array" aca="1" ref="CR163" ca="1">MIN(_xlfn._xlws.FILTER($CJ163:$CP163,$CJ163:$CP163&gt;BJ163))</f>
        <v>12.443333333333335</v>
      </c>
      <c r="CS163" s="19">
        <f t="shared" ca="1" si="145"/>
        <v>0.242262895174709</v>
      </c>
      <c r="CT163" s="23">
        <f t="shared" ca="1" si="146"/>
        <v>-0.1211314475873545</v>
      </c>
      <c r="CU163" s="23">
        <f t="shared" ca="1" si="147"/>
        <v>-8.0754298391569668E-2</v>
      </c>
      <c r="CV163" s="23">
        <f t="shared" ca="1" si="148"/>
        <v>-4.8452579034941802E-2</v>
      </c>
      <c r="CW163" s="23">
        <f t="shared" ca="1" si="149"/>
        <v>-2.6918099463856555E-2</v>
      </c>
      <c r="CX163" s="23">
        <f t="shared" ca="1" si="150"/>
        <v>-1.4250758539688765E-2</v>
      </c>
      <c r="CY163" s="23">
        <f t="shared" ca="1" si="151"/>
        <v>-7.3412998537790604E-3</v>
      </c>
      <c r="CZ163" s="23">
        <f t="shared" ca="1" si="152"/>
        <v>-3.7271214642262923E-3</v>
      </c>
      <c r="DA163" s="24">
        <f t="shared" ca="1" si="153"/>
        <v>3.7271214642262923E-3</v>
      </c>
      <c r="DB163" s="24">
        <f t="shared" ca="1" si="154"/>
        <v>7.3412998537790604E-3</v>
      </c>
      <c r="DC163" s="24">
        <f t="shared" ca="1" si="155"/>
        <v>1.4250758539688765E-2</v>
      </c>
      <c r="DD163" s="24">
        <f t="shared" ca="1" si="156"/>
        <v>2.6918099463856555E-2</v>
      </c>
      <c r="DE163" s="24">
        <f t="shared" ca="1" si="157"/>
        <v>4.8452579034941802E-2</v>
      </c>
      <c r="DF163" s="24">
        <f t="shared" ca="1" si="158"/>
        <v>8.0754298391569668E-2</v>
      </c>
      <c r="DG163" s="24">
        <f t="shared" ca="1" si="159"/>
        <v>0.1211314475873545</v>
      </c>
      <c r="DI163" s="19" cm="1">
        <f t="array" aca="1" ref="DI163" ca="1">MAX(_xlfn._xlws.FILTER(CT163:DG163,CT163:DG163&lt;BP163))</f>
        <v>7.3412998537790604E-3</v>
      </c>
      <c r="DJ163" s="19" cm="1">
        <f t="array" aca="1" ref="DJ163" ca="1">MIN(_xlfn._xlws.FILTER(CT163:DG163,CT163:DG163&gt;BP163))</f>
        <v>1.4250758539688765E-2</v>
      </c>
      <c r="DK163" s="2" cm="1">
        <f t="array" aca="1" ref="DK163" ca="1">_FV(EH163,"Fechamento anterior",TRUE)</f>
        <v>9.98</v>
      </c>
      <c r="DL163" s="36">
        <f ca="1">(BJ163-DM163)/(DN163-DM163)</f>
        <v>0.67773011682704765</v>
      </c>
      <c r="DM163" s="18">
        <f t="shared" ca="1" si="160"/>
        <v>10.053266172540715</v>
      </c>
      <c r="DN163" s="18">
        <f t="shared" ca="1" si="161"/>
        <v>10.122222570226095</v>
      </c>
      <c r="DO163" s="9"/>
      <c r="DP163" s="9"/>
      <c r="DQ163" s="94">
        <v>6.7182242163055681E-3</v>
      </c>
      <c r="DR163" s="94">
        <v>6.7182242163055681E-3</v>
      </c>
      <c r="DS163" s="94">
        <v>9.2183671261740555E-3</v>
      </c>
      <c r="DT163" s="94">
        <f t="shared" ca="1" si="137"/>
        <v>6.9094586859097043E-3</v>
      </c>
      <c r="DU163" s="87">
        <f ca="1">(BJ163-CF163)/(CF163-CE163)</f>
        <v>1.0105451070721887</v>
      </c>
      <c r="DV163" s="46"/>
      <c r="DW163" s="43">
        <f>_xlfn.STDEV.P(BF163:BI163)</f>
        <v>8.4113019206303263E-2</v>
      </c>
      <c r="DX163" s="76">
        <f ca="1">BO163-$DT$2</f>
        <v>-0.52210000000000012</v>
      </c>
      <c r="DY163" s="76">
        <f ca="1">BO163-BP163*100</f>
        <v>-0.72739999999999994</v>
      </c>
      <c r="DZ163" s="101"/>
      <c r="EA163" s="100">
        <v>-1.0725</v>
      </c>
      <c r="EB163" s="107">
        <v>-1.4393</v>
      </c>
      <c r="EC163" s="107">
        <v>0.78569999999999995</v>
      </c>
      <c r="ED163" s="98">
        <f t="shared" ca="1" si="138"/>
        <v>0.20529999999999982</v>
      </c>
      <c r="EE163" s="66"/>
      <c r="EF163" s="66"/>
      <c r="EH163" s="2" t="e" vm="165">
        <v>#VALUE!</v>
      </c>
      <c r="EJ163" s="10" cm="1">
        <f t="array" aca="1" ref="EJ163" ca="1">_FV(EH163,"Ações em circulação",TRUE)</f>
        <v>1050378000</v>
      </c>
      <c r="EK163" s="21">
        <f>VLOOKUP(BK163,Fundamentus!A:U,5,FALSE)</f>
        <v>1.095</v>
      </c>
      <c r="EL163" s="2">
        <f ca="1">(BJ163*EJ163)/EK163</f>
        <v>9688418082.191782</v>
      </c>
      <c r="EM163" s="20">
        <v>71799811.232876718</v>
      </c>
      <c r="EN163" s="20">
        <f t="shared" ca="1" si="139"/>
        <v>72663135.616438359</v>
      </c>
      <c r="EP163" s="19">
        <f t="shared" ca="1" si="134"/>
        <v>1.2024048096192397E-2</v>
      </c>
      <c r="EQ163" s="40" t="str">
        <f>IF(VLOOKUP(BK163,Fundamentus!A:U,3,FALSE)&lt;15,"Bom",IF(VLOOKUP(BK163,Fundamentus!A:U,3,FALSE)&gt;15,"Ruim","n/a"))</f>
        <v>Ruim</v>
      </c>
      <c r="ER163" s="36" t="str">
        <f>IF(VLOOKUP(BK163,Fundamentus!A:U,4,FALSE)&lt;1,"Baixo",IF(VLOOKUP(BK163,Fundamentus!A:U,4,FALSE)&lt;1.5,"Moderado",IF(VLOOKUP(BK163,Fundamentus!A:U,4,FALSE)&gt;1.5,"Alto","n/a")))</f>
        <v>Baixo</v>
      </c>
      <c r="ES163" s="20" t="str">
        <f>IF(VLOOKUP(BK163,Fundamentus!A:U,8,FALSE)&lt;0,"Risco elevado",IF(VLOOKUP(BK163,Fundamentus!A:U,8,FALSE)&lt;1,"Saudável",IF(VLOOKUP(BK163,Fundamentus!A:U,8,FALSE)&lt;3,"Estável",IF(VLOOKUP(BK163,Fundamentus!A:U,8,FALSE)&gt;3,"Alerta","n/a"))))</f>
        <v>Alerta</v>
      </c>
      <c r="ET163" s="36" t="str">
        <f t="shared" si="140"/>
        <v>Bom</v>
      </c>
      <c r="EU163" s="20" t="str">
        <f>IF(VLOOKUP(BK163,Fundamentus!A:U,12,FALSE)&lt;2,"Subvalorizada",IF(VLOOKUP(BK163,Fundamentus!A:U,12,FALSE)&lt;6,"Muita barata",IF(VLOOKUP(BK163,Fundamentus!A:U,12,FALSE)&lt;6,"Barata",IF(VLOOKUP(BK163,Fundamentus!A:U,12,FALSE)&lt;8,"Atrativa",IF(VLOOKUP(BK163,Fundamentus!A:U,12,FALSE)&gt;8,"Supervalorizada","n/a")))))</f>
        <v>Supervalorizada</v>
      </c>
      <c r="EW163" s="20" t="str">
        <f>IF(VLOOKUP(BK163,Fundamentus!A:U,17,FALSE)&lt;0.1,"Fraco retorno",IF(VLOOKUP(BK163,Fundamentus!A:U,17,FALSE)&gt;0.1,"Bom retorno","n/a"))</f>
        <v>Fraco retorno</v>
      </c>
      <c r="EX163" s="20" t="str">
        <f>IF(VLOOKUP(BK163,Fundamentus!A:U,16,FALSE)&lt;0.1,"Ineficiente",IF(VLOOKUP(BK163,Fundamentus!A:U,16,FALSE)&gt;0.1,"Eficiente","n/a"))</f>
        <v>Ineficiente</v>
      </c>
      <c r="EY163" s="41" t="str">
        <f>IF(VLOOKUP(BK163,Fundamentus!A:U,16,FALSE)&lt;0.1,"Oper. Ineficiente",IF(VLOOKUP(BK163,Fundamentus!A:U,16,FALSE)&gt;0.1,"Oper.Eficiente","n/a"))</f>
        <v>Oper. Ineficiente</v>
      </c>
      <c r="EZ163" s="42">
        <f>VLOOKUP(BK163,Fundamentus!A:U,14,FALSE)</f>
        <v>7.4999999999999997E-3</v>
      </c>
      <c r="FA163" s="20" t="str">
        <f>IF(VLOOKUP(BK163,Fundamentus!A:U,21,FALSE)&lt;0,"Negativo",IF(VLOOKUP(BK163,Fundamentus!A:U,21,FALSE)&lt;0.05,"Fraco",IF(VLOOKUP(BK163,Fundamentus!A:U,21,FALSE)&lt;0.1,"Bom",IF(VLOOKUP(BK163,Fundamentus!A:U,21,FALSE)&gt;0.1,"Muito bom","n/a"))))</f>
        <v>Muito bom</v>
      </c>
      <c r="FC163" s="37" t="str">
        <f>IF(VLOOKUP(BK163,Fundamentus!A:U,15,FALSE)&gt;1,"Bom",IF(VLOOKUP(BK163,Fundamentus!A:U,15,FALSE)&lt;1,"Ruim","n/a"))</f>
        <v>Bom</v>
      </c>
      <c r="FD163" s="20" t="str">
        <f>IF(VLOOKUP(BK163,Fundamentus!A:U,20,FALSE)&lt;0.5,"Baixa",IF(VLOOKUP(BK163,Fundamentus!A:U,20,FALSE)&lt;1,"Moderada",IF(VLOOKUP(BK163,Fundamentus!A:U,20,FALSE)&lt;2,"Alerta",IF(VLOOKUP(BK163,Fundamentus!A:U,20,FALSE)&gt;2,"Alta","n/a"))))</f>
        <v>Alerta</v>
      </c>
      <c r="FE163" s="10"/>
    </row>
    <row r="164" spans="1:161" s="2" customFormat="1" ht="11.25" hidden="1"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8">
        <v>19.82</v>
      </c>
      <c r="BC164" s="62">
        <v>18.7</v>
      </c>
      <c r="BD164" s="62">
        <v>18.93</v>
      </c>
      <c r="BE164" s="62">
        <v>19.25</v>
      </c>
      <c r="BF164" s="62">
        <v>18.48</v>
      </c>
      <c r="BG164" s="81">
        <v>19.079999999999998</v>
      </c>
      <c r="BH164" s="62">
        <v>18.190000000000001</v>
      </c>
      <c r="BI164" s="62">
        <v>18.2</v>
      </c>
      <c r="BJ164" s="62" cm="1">
        <f t="array" aca="1" ref="BJ164" ca="1">_FV(EH164,"Preço")</f>
        <v>18.18</v>
      </c>
      <c r="BK164" s="83" t="s">
        <v>160</v>
      </c>
      <c r="BL164" s="44" cm="1">
        <f t="array" aca="1" ref="BL164" ca="1">_FV(EH164,"Média de volume",TRUE)</f>
        <v>405670</v>
      </c>
      <c r="BM164" s="44">
        <v>278200</v>
      </c>
      <c r="BN164" s="44" cm="1">
        <f t="array" aca="1" ref="BN164" ca="1">_FV(EH164,"Volume")</f>
        <v>167100</v>
      </c>
      <c r="BO164" s="32" cm="1">
        <f t="array" aca="1" ref="BO164" ca="1">_FV(EH164,"Beta")</f>
        <v>0.50849999999999995</v>
      </c>
      <c r="BP164" s="86" cm="1">
        <f t="array" aca="1" ref="BP164" ca="1">_FV(EH164,"Variação (%)",TRUE)</f>
        <v>-1.0989999999999999E-3</v>
      </c>
      <c r="BQ164" s="48"/>
      <c r="BR164" s="48"/>
      <c r="BT164" s="20" cm="1">
        <f t="array" aca="1" ref="BT164" ca="1">_FV(EH164,"Baixo")</f>
        <v>18.100000000000001</v>
      </c>
      <c r="BU164" s="20" cm="1">
        <f t="array" aca="1" ref="BU164" ca="1">_FV(EH164,"Alto")</f>
        <v>18.37</v>
      </c>
      <c r="BV164" s="32"/>
      <c r="BW164" s="73" t="e">
        <f ca="1">SQRT(22.5*(BJ164/VLOOKUP(BK164,Fundamentus!A:U,3,FALSE))*(BJ164/VLOOKUP(BK164,Fundamentus!A:U,4,FALSE)))</f>
        <v>#NUM!</v>
      </c>
      <c r="BY164" s="72">
        <f t="shared" ca="1" si="135"/>
        <v>-1.0989010989010755E-3</v>
      </c>
      <c r="BZ164" s="8"/>
      <c r="CA164" s="71">
        <f t="shared" si="143"/>
        <v>17.5</v>
      </c>
      <c r="CB164" s="71">
        <f t="shared" si="136"/>
        <v>27.58</v>
      </c>
      <c r="CC164" s="71">
        <f t="shared" si="144"/>
        <v>22.563852459016395</v>
      </c>
      <c r="CD164" s="17"/>
      <c r="CE164" s="43">
        <f t="shared" si="141"/>
        <v>17.332314037772814</v>
      </c>
      <c r="CF164" s="18">
        <f>FORECAST("04/07/2025", BF164:BI164, $BF$5:$BI$5)</f>
        <v>18.054999999999836</v>
      </c>
      <c r="CG164" s="43">
        <f t="shared" si="142"/>
        <v>18.777685962226858</v>
      </c>
      <c r="CI164" s="17"/>
      <c r="CJ164" s="20">
        <f>CA164-2*(CB164-CM164)</f>
        <v>4.5266666666666708</v>
      </c>
      <c r="CK164" s="20">
        <f>CM164-(CB164-CA164)</f>
        <v>11.013333333333335</v>
      </c>
      <c r="CL164" s="20">
        <f>2*CM164-CB164</f>
        <v>14.606666666666669</v>
      </c>
      <c r="CM164" s="48">
        <f>(CB164+CA164+BI164)/3</f>
        <v>21.093333333333334</v>
      </c>
      <c r="CN164" s="20">
        <f>2*CM164-CA164</f>
        <v>24.686666666666667</v>
      </c>
      <c r="CO164" s="20">
        <f>CM164+(CB164-CA164)</f>
        <v>31.173333333333332</v>
      </c>
      <c r="CP164" s="20">
        <f>CB164+2*(CM164-CA164)</f>
        <v>34.766666666666666</v>
      </c>
      <c r="CQ164" s="2" cm="1">
        <f t="array" aca="1" ref="CQ164" ca="1">MAX(_xlfn._xlws.FILTER(CJ164:CP164,CJ164:CP164&lt;BJ164))</f>
        <v>14.606666666666669</v>
      </c>
      <c r="CR164" s="2" cm="1">
        <f t="array" aca="1" ref="CR164" ca="1">MIN(_xlfn._xlws.FILTER($CJ164:$CP164,$CJ164:$CP164&gt;BJ164))</f>
        <v>21.093333333333334</v>
      </c>
      <c r="CS164" s="19">
        <f t="shared" ca="1" si="145"/>
        <v>0.44408945686900947</v>
      </c>
      <c r="CT164" s="23">
        <f t="shared" ca="1" si="146"/>
        <v>-0.22204472843450473</v>
      </c>
      <c r="CU164" s="23">
        <f t="shared" ca="1" si="147"/>
        <v>-0.14802981895633649</v>
      </c>
      <c r="CV164" s="23">
        <f t="shared" ca="1" si="148"/>
        <v>-8.8817891373801888E-2</v>
      </c>
      <c r="CW164" s="23">
        <f t="shared" ca="1" si="149"/>
        <v>-4.9343272985445497E-2</v>
      </c>
      <c r="CX164" s="23">
        <f t="shared" ca="1" si="150"/>
        <v>-2.6122909227588791E-2</v>
      </c>
      <c r="CY164" s="23">
        <f t="shared" ca="1" si="151"/>
        <v>-1.3457256268757862E-2</v>
      </c>
      <c r="CZ164" s="23">
        <f t="shared" ca="1" si="152"/>
        <v>-6.8321454902924537E-3</v>
      </c>
      <c r="DA164" s="24">
        <f t="shared" ca="1" si="153"/>
        <v>6.8321454902924537E-3</v>
      </c>
      <c r="DB164" s="24">
        <f t="shared" ca="1" si="154"/>
        <v>1.3457256268757862E-2</v>
      </c>
      <c r="DC164" s="24">
        <f t="shared" ca="1" si="155"/>
        <v>2.6122909227588791E-2</v>
      </c>
      <c r="DD164" s="24">
        <f t="shared" ca="1" si="156"/>
        <v>4.9343272985445497E-2</v>
      </c>
      <c r="DE164" s="24">
        <f t="shared" ca="1" si="157"/>
        <v>8.8817891373801888E-2</v>
      </c>
      <c r="DF164" s="24">
        <f t="shared" ca="1" si="158"/>
        <v>0.14802981895633649</v>
      </c>
      <c r="DG164" s="24">
        <f t="shared" ca="1" si="159"/>
        <v>0.22204472843450473</v>
      </c>
      <c r="DI164" s="19" cm="1">
        <f t="array" aca="1" ref="DI164" ca="1">MAX(_xlfn._xlws.FILTER(CT164:DG164,CT164:DG164&lt;BP164))</f>
        <v>-6.8321454902924537E-3</v>
      </c>
      <c r="DJ164" s="19" cm="1">
        <f t="array" aca="1" ref="DJ164" ca="1">MIN(_xlfn._xlws.FILTER(CT164:DG164,CT164:DG164&gt;BP164))</f>
        <v>6.8321454902924537E-3</v>
      </c>
      <c r="DK164" s="2" cm="1">
        <f t="array" aca="1" ref="DK164" ca="1">_FV(EH164,"Fechamento anterior",TRUE)</f>
        <v>18.2</v>
      </c>
      <c r="DL164" s="36">
        <f ca="1">(BJ164-DM164)/(DN164-DM164)</f>
        <v>0.41957862281603542</v>
      </c>
      <c r="DM164" s="18">
        <f t="shared" ca="1" si="160"/>
        <v>18.075654952076675</v>
      </c>
      <c r="DN164" s="18">
        <f t="shared" ca="1" si="161"/>
        <v>18.324345047923323</v>
      </c>
      <c r="DO164" s="9"/>
      <c r="DP164" s="9"/>
      <c r="DQ164" s="94">
        <v>2.4207447353690164E-2</v>
      </c>
      <c r="DR164" s="94">
        <v>6.9067402239899201E-3</v>
      </c>
      <c r="DS164" s="94">
        <v>6.0812669851722035E-3</v>
      </c>
      <c r="DT164" s="94">
        <f t="shared" ca="1" si="137"/>
        <v>1.3664290980584907E-2</v>
      </c>
      <c r="DU164" s="87">
        <f ca="1">(BJ164-CF164)/(CF164-CE164)</f>
        <v>0.17296586143027418</v>
      </c>
      <c r="DV164" s="46"/>
      <c r="DW164" s="43">
        <f>_xlfn.STDEV.P(BF164:BI164)</f>
        <v>0.36134298111351132</v>
      </c>
      <c r="DX164" s="76">
        <f ca="1">BO164-$DT$2</f>
        <v>-0.48860000000000015</v>
      </c>
      <c r="DY164" s="76">
        <f ca="1">BO164-BP164*100</f>
        <v>0.61839999999999995</v>
      </c>
      <c r="DZ164" s="101"/>
      <c r="EA164" s="100">
        <v>-1.9751999999999998</v>
      </c>
      <c r="EB164" s="107">
        <v>-0.32739999999999991</v>
      </c>
      <c r="EC164" s="107">
        <v>-3.839999999999999E-2</v>
      </c>
      <c r="ED164" s="98">
        <f t="shared" ca="1" si="138"/>
        <v>-1.1070000000000002</v>
      </c>
      <c r="EE164" s="66"/>
      <c r="EF164" s="66"/>
      <c r="EH164" s="2" t="e" vm="166">
        <v>#VALUE!</v>
      </c>
      <c r="EJ164" s="10" cm="1">
        <f t="array" aca="1" ref="EJ164" ca="1">_FV(EH164,"Ações em circulação",TRUE)</f>
        <v>144177500</v>
      </c>
      <c r="EK164" s="21">
        <f>VLOOKUP(BK164,Fundamentus!A:U,5,FALSE)</f>
        <v>0.26100000000000001</v>
      </c>
      <c r="EL164" s="2">
        <f ca="1">(BJ164*EJ164)/EK164</f>
        <v>10042708620.689655</v>
      </c>
      <c r="EM164" s="20">
        <v>-42225778.16091954</v>
      </c>
      <c r="EN164" s="20">
        <f t="shared" ca="1" si="139"/>
        <v>-42179376.206896551</v>
      </c>
      <c r="EP164" s="19">
        <f t="shared" ca="1" si="134"/>
        <v>-1.098901098901095E-3</v>
      </c>
      <c r="EQ164" s="40" t="str">
        <f>IF(VLOOKUP(BK164,Fundamentus!A:U,3,FALSE)&lt;15,"Bom",IF(VLOOKUP(BK164,Fundamentus!A:U,3,FALSE)&gt;15,"Ruim","n/a"))</f>
        <v>Bom</v>
      </c>
      <c r="ER164" s="36" t="str">
        <f>IF(VLOOKUP(BK164,Fundamentus!A:U,4,FALSE)&lt;1,"Baixo",IF(VLOOKUP(BK164,Fundamentus!A:U,4,FALSE)&lt;1.5,"Moderado",IF(VLOOKUP(BK164,Fundamentus!A:U,4,FALSE)&gt;1.5,"Alto","n/a")))</f>
        <v>Baixo</v>
      </c>
      <c r="ES164" s="20" t="str">
        <f>IF(VLOOKUP(BK164,Fundamentus!A:U,8,FALSE)&lt;0,"Risco elevado",IF(VLOOKUP(BK164,Fundamentus!A:U,8,FALSE)&lt;1,"Saudável",IF(VLOOKUP(BK164,Fundamentus!A:U,8,FALSE)&lt;3,"Estável",IF(VLOOKUP(BK164,Fundamentus!A:U,8,FALSE)&gt;3,"Alerta","n/a"))))</f>
        <v>Saudável</v>
      </c>
      <c r="ET164" s="36" t="str">
        <f t="shared" si="140"/>
        <v>Ruim</v>
      </c>
      <c r="EU164" s="20" t="str">
        <f>IF(VLOOKUP(BK164,Fundamentus!A:U,12,FALSE)&lt;2,"Subvalorizada",IF(VLOOKUP(BK164,Fundamentus!A:U,12,FALSE)&lt;6,"Muita barata",IF(VLOOKUP(BK164,Fundamentus!A:U,12,FALSE)&lt;6,"Barata",IF(VLOOKUP(BK164,Fundamentus!A:U,12,FALSE)&lt;8,"Atrativa",IF(VLOOKUP(BK164,Fundamentus!A:U,12,FALSE)&gt;8,"Supervalorizada","n/a")))))</f>
        <v>Muita barata</v>
      </c>
      <c r="EW164" s="20" t="str">
        <f>IF(VLOOKUP(BK164,Fundamentus!A:U,17,FALSE)&lt;0.1,"Fraco retorno",IF(VLOOKUP(BK164,Fundamentus!A:U,17,FALSE)&gt;0.1,"Bom retorno","n/a"))</f>
        <v>Fraco retorno</v>
      </c>
      <c r="EX164" s="20" t="str">
        <f>IF(VLOOKUP(BK164,Fundamentus!A:U,16,FALSE)&lt;0.1,"Ineficiente",IF(VLOOKUP(BK164,Fundamentus!A:U,16,FALSE)&gt;0.1,"Eficiente","n/a"))</f>
        <v>Eficiente</v>
      </c>
      <c r="EY164" s="41" t="str">
        <f>IF(VLOOKUP(BK164,Fundamentus!A:U,16,FALSE)&lt;0.1,"Oper. Ineficiente",IF(VLOOKUP(BK164,Fundamentus!A:U,16,FALSE)&gt;0.1,"Oper.Eficiente","n/a"))</f>
        <v>Oper.Eficiente</v>
      </c>
      <c r="EZ164" s="42">
        <f>VLOOKUP(BK164,Fundamentus!A:U,14,FALSE)</f>
        <v>-4.1999999999999997E-3</v>
      </c>
      <c r="FA164" s="20" t="str">
        <f>IF(VLOOKUP(BK164,Fundamentus!A:U,21,FALSE)&lt;0,"Negativo",IF(VLOOKUP(BK164,Fundamentus!A:U,21,FALSE)&lt;0.05,"Fraco",IF(VLOOKUP(BK164,Fundamentus!A:U,21,FALSE)&lt;0.1,"Bom",IF(VLOOKUP(BK164,Fundamentus!A:U,21,FALSE)&gt;0.1,"Muito bom","n/a"))))</f>
        <v>Muito bom</v>
      </c>
      <c r="FC164" s="37" t="str">
        <f>IF(VLOOKUP(BK164,Fundamentus!A:U,15,FALSE)&gt;1,"Bom",IF(VLOOKUP(BK164,Fundamentus!A:U,15,FALSE)&lt;1,"Ruim","n/a"))</f>
        <v>Bom</v>
      </c>
      <c r="FD164" s="20" t="str">
        <f>IF(VLOOKUP(BK164,Fundamentus!A:U,20,FALSE)&lt;0.5,"Baixa",IF(VLOOKUP(BK164,Fundamentus!A:U,20,FALSE)&lt;1,"Moderada",IF(VLOOKUP(BK164,Fundamentus!A:U,20,FALSE)&lt;2,"Alerta",IF(VLOOKUP(BK164,Fundamentus!A:U,20,FALSE)&gt;2,"Alta","n/a"))))</f>
        <v>Alerta</v>
      </c>
      <c r="FE164" s="10"/>
    </row>
    <row r="165" spans="1:161" s="2" customFormat="1" ht="11.25" hidden="1"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8">
        <v>17.899999999999999</v>
      </c>
      <c r="BC165" s="62">
        <v>17.600000000000001</v>
      </c>
      <c r="BD165" s="62">
        <v>17.2</v>
      </c>
      <c r="BE165" s="62">
        <v>17</v>
      </c>
      <c r="BF165" s="62">
        <v>16.739999999999998</v>
      </c>
      <c r="BG165" s="81">
        <v>16.989999999999998</v>
      </c>
      <c r="BH165" s="62">
        <v>16.93</v>
      </c>
      <c r="BI165" s="62">
        <v>17.04</v>
      </c>
      <c r="BJ165" s="62" cm="1">
        <f t="array" aca="1" ref="BJ165" ca="1">_FV(EH165,"Preço")</f>
        <v>17</v>
      </c>
      <c r="BK165" s="83" t="s">
        <v>161</v>
      </c>
      <c r="BL165" s="44" cm="1">
        <f t="array" aca="1" ref="BL165" ca="1">_FV(EH165,"Média de volume",TRUE)</f>
        <v>18990</v>
      </c>
      <c r="BM165" s="44">
        <v>16600</v>
      </c>
      <c r="BN165" s="44" cm="1">
        <f t="array" aca="1" ref="BN165" ca="1">_FV(EH165,"Volume")</f>
        <v>4900</v>
      </c>
      <c r="BO165" s="32" cm="1">
        <f t="array" aca="1" ref="BO165" ca="1">_FV(EH165,"Beta")</f>
        <v>0.95740000000000003</v>
      </c>
      <c r="BP165" s="86" cm="1">
        <f t="array" aca="1" ref="BP165" ca="1">_FV(EH165,"Variação (%)",TRUE)</f>
        <v>-2.3470000000000001E-3</v>
      </c>
      <c r="BQ165" s="48"/>
      <c r="BR165" s="48"/>
      <c r="BT165" s="20" cm="1">
        <f t="array" aca="1" ref="BT165" ca="1">_FV(EH165,"Baixo")</f>
        <v>16.95</v>
      </c>
      <c r="BU165" s="20" cm="1">
        <f t="array" aca="1" ref="BU165" ca="1">_FV(EH165,"Alto")</f>
        <v>17.03</v>
      </c>
      <c r="BV165" s="32"/>
      <c r="BW165" s="73" t="e">
        <f ca="1">SQRT(22.5*(BJ165/VLOOKUP(BK165,Fundamentus!A:U,3,FALSE))*(BJ165/VLOOKUP(BK165,Fundamentus!A:U,4,FALSE)))</f>
        <v>#NUM!</v>
      </c>
      <c r="BY165" s="72">
        <f t="shared" ca="1" si="135"/>
        <v>-2.347417840375537E-3</v>
      </c>
      <c r="BZ165" s="8"/>
      <c r="CA165" s="71">
        <f t="shared" si="143"/>
        <v>15.83</v>
      </c>
      <c r="CB165" s="71">
        <f t="shared" si="136"/>
        <v>25.9</v>
      </c>
      <c r="CC165" s="71">
        <f t="shared" si="144"/>
        <v>20.335901639344272</v>
      </c>
      <c r="CD165" s="17"/>
      <c r="CE165" s="43">
        <f t="shared" si="141"/>
        <v>16.907623659981834</v>
      </c>
      <c r="CF165" s="18">
        <f>FORECAST("04/07/2025", BF165:BI165, $BF$5:$BI$5)</f>
        <v>17.134999999999877</v>
      </c>
      <c r="CG165" s="43">
        <f t="shared" si="142"/>
        <v>17.362376340017921</v>
      </c>
      <c r="CI165" s="17"/>
      <c r="CJ165" s="20">
        <f>CA165-2*(CB165-CM165)</f>
        <v>3.2100000000000026</v>
      </c>
      <c r="CK165" s="20">
        <f>CM165-(CB165-CA165)</f>
        <v>9.5200000000000014</v>
      </c>
      <c r="CL165" s="20">
        <f>2*CM165-CB165</f>
        <v>13.280000000000001</v>
      </c>
      <c r="CM165" s="48">
        <f>(CB165+CA165+BI165)/3</f>
        <v>19.59</v>
      </c>
      <c r="CN165" s="20">
        <f>2*CM165-CA165</f>
        <v>23.35</v>
      </c>
      <c r="CO165" s="20">
        <f>CM165+(CB165-CA165)</f>
        <v>29.659999999999997</v>
      </c>
      <c r="CP165" s="20">
        <f>CB165+2*(CM165-CA165)</f>
        <v>33.42</v>
      </c>
      <c r="CQ165" s="2" cm="1">
        <f t="array" aca="1" ref="CQ165" ca="1">MAX(_xlfn._xlws.FILTER(CJ165:CP165,CJ165:CP165&lt;BJ165))</f>
        <v>13.280000000000001</v>
      </c>
      <c r="CR165" s="2" cm="1">
        <f t="array" aca="1" ref="CR165" ca="1">MIN(_xlfn._xlws.FILTER($CJ165:$CP165,$CJ165:$CP165&gt;BJ165))</f>
        <v>19.59</v>
      </c>
      <c r="CS165" s="19">
        <f t="shared" ca="1" si="145"/>
        <v>0.47515060240963836</v>
      </c>
      <c r="CT165" s="23">
        <f t="shared" ca="1" si="146"/>
        <v>-0.23757530120481918</v>
      </c>
      <c r="CU165" s="23">
        <f t="shared" ca="1" si="147"/>
        <v>-0.15838353413654613</v>
      </c>
      <c r="CV165" s="23">
        <f t="shared" ca="1" si="148"/>
        <v>-9.5030120481927674E-2</v>
      </c>
      <c r="CW165" s="23">
        <f t="shared" ca="1" si="149"/>
        <v>-5.2794511378848705E-2</v>
      </c>
      <c r="CX165" s="23">
        <f t="shared" ca="1" si="150"/>
        <v>-2.7950035435861081E-2</v>
      </c>
      <c r="CY165" s="23">
        <f t="shared" ca="1" si="151"/>
        <v>-1.4398503103322375E-2</v>
      </c>
      <c r="CZ165" s="23">
        <f t="shared" ca="1" si="152"/>
        <v>-7.3100092678405901E-3</v>
      </c>
      <c r="DA165" s="24">
        <f t="shared" ca="1" si="153"/>
        <v>7.3100092678405901E-3</v>
      </c>
      <c r="DB165" s="24">
        <f t="shared" ca="1" si="154"/>
        <v>1.4398503103322375E-2</v>
      </c>
      <c r="DC165" s="24">
        <f t="shared" ca="1" si="155"/>
        <v>2.7950035435861081E-2</v>
      </c>
      <c r="DD165" s="24">
        <f t="shared" ca="1" si="156"/>
        <v>5.2794511378848705E-2</v>
      </c>
      <c r="DE165" s="24">
        <f t="shared" ca="1" si="157"/>
        <v>9.5030120481927674E-2</v>
      </c>
      <c r="DF165" s="24">
        <f t="shared" ca="1" si="158"/>
        <v>0.15838353413654613</v>
      </c>
      <c r="DG165" s="24">
        <f t="shared" ca="1" si="159"/>
        <v>0.23757530120481918</v>
      </c>
      <c r="DI165" s="19" cm="1">
        <f t="array" aca="1" ref="DI165" ca="1">MAX(_xlfn._xlws.FILTER(CT165:DG165,CT165:DG165&lt;BP165))</f>
        <v>-7.3100092678405901E-3</v>
      </c>
      <c r="DJ165" s="19" cm="1">
        <f t="array" aca="1" ref="DJ165" ca="1">MIN(_xlfn._xlws.FILTER(CT165:DG165,CT165:DG165&gt;BP165))</f>
        <v>7.3100092678405901E-3</v>
      </c>
      <c r="DK165" s="2" cm="1">
        <f t="array" aca="1" ref="DK165" ca="1">_FV(EH165,"Fechamento anterior",TRUE)</f>
        <v>17.04</v>
      </c>
      <c r="DL165" s="36">
        <f ca="1">(BJ165-DM165)/(DN165-DM165)</f>
        <v>0.33943810778033717</v>
      </c>
      <c r="DM165" s="18">
        <f t="shared" ca="1" si="160"/>
        <v>16.915437442075994</v>
      </c>
      <c r="DN165" s="18">
        <f t="shared" ca="1" si="161"/>
        <v>17.164562557924004</v>
      </c>
      <c r="DO165" s="9"/>
      <c r="DP165" s="9"/>
      <c r="DQ165" s="94">
        <v>4.762075347781955E-2</v>
      </c>
      <c r="DR165" s="94">
        <v>1.6484106973091384E-2</v>
      </c>
      <c r="DS165" s="94">
        <v>1.4695520885757414E-2</v>
      </c>
      <c r="DT165" s="94">
        <f t="shared" ca="1" si="137"/>
        <v>1.462001853568118E-2</v>
      </c>
      <c r="DU165" s="87">
        <f ca="1">(BJ165-CF165)/(CF165-CE165)</f>
        <v>-0.59372932112973698</v>
      </c>
      <c r="DV165" s="46"/>
      <c r="DW165" s="43">
        <f>_xlfn.STDEV.P(BF165:BI165)</f>
        <v>0.11368817000902093</v>
      </c>
      <c r="DX165" s="76">
        <f ca="1">BO165-$DT$2</f>
        <v>-3.9700000000000069E-2</v>
      </c>
      <c r="DY165" s="76">
        <f ca="1">BO165-BP165*100</f>
        <v>1.1920999999999999</v>
      </c>
      <c r="DZ165" s="101"/>
      <c r="EA165" s="100">
        <v>4.5999999999999375E-3</v>
      </c>
      <c r="EB165" s="107">
        <v>1.1239000000000001</v>
      </c>
      <c r="EC165" s="107">
        <v>0.41620000000000013</v>
      </c>
      <c r="ED165" s="98">
        <f t="shared" ca="1" si="138"/>
        <v>-1.2318</v>
      </c>
      <c r="EE165" s="66"/>
      <c r="EF165" s="66"/>
      <c r="EH165" s="2" t="e" vm="167">
        <v>#VALUE!</v>
      </c>
      <c r="EJ165" s="10" cm="1">
        <f t="array" aca="1" ref="EJ165" ca="1">_FV(EH165,"Ações em circulação",TRUE)</f>
        <v>57737320</v>
      </c>
      <c r="EK165" s="21">
        <f>VLOOKUP(BK165,Fundamentus!A:U,5,FALSE)</f>
        <v>2.1360000000000001</v>
      </c>
      <c r="EL165" s="2">
        <f ca="1">(BJ165*EJ165)/EK165</f>
        <v>459519868.91385764</v>
      </c>
      <c r="EM165" s="20">
        <v>-28419087.3847191</v>
      </c>
      <c r="EN165" s="20">
        <f t="shared" ca="1" si="139"/>
        <v>-28352375.911985014</v>
      </c>
      <c r="EP165" s="19">
        <f t="shared" ca="1" si="134"/>
        <v>-2.3474178403757318E-3</v>
      </c>
      <c r="EQ165" s="40" t="str">
        <f>IF(VLOOKUP(BK165,Fundamentus!A:U,3,FALSE)&lt;15,"Bom",IF(VLOOKUP(BK165,Fundamentus!A:U,3,FALSE)&gt;15,"Ruim","n/a"))</f>
        <v>Bom</v>
      </c>
      <c r="ER165" s="36" t="str">
        <f>IF(VLOOKUP(BK165,Fundamentus!A:U,4,FALSE)&lt;1,"Baixo",IF(VLOOKUP(BK165,Fundamentus!A:U,4,FALSE)&lt;1.5,"Moderado",IF(VLOOKUP(BK165,Fundamentus!A:U,4,FALSE)&gt;1.5,"Alto","n/a")))</f>
        <v>Baixo</v>
      </c>
      <c r="ES165" s="20" t="str">
        <f>IF(VLOOKUP(BK165,Fundamentus!A:U,8,FALSE)&lt;0,"Risco elevado",IF(VLOOKUP(BK165,Fundamentus!A:U,8,FALSE)&lt;1,"Saudável",IF(VLOOKUP(BK165,Fundamentus!A:U,8,FALSE)&lt;3,"Estável",IF(VLOOKUP(BK165,Fundamentus!A:U,8,FALSE)&gt;3,"Alerta","n/a"))))</f>
        <v>Estável</v>
      </c>
      <c r="ET165" s="36" t="str">
        <f t="shared" si="140"/>
        <v>Bom</v>
      </c>
      <c r="EU165" s="20" t="str">
        <f>IF(VLOOKUP(BK165,Fundamentus!A:U,12,FALSE)&lt;2,"Subvalorizada",IF(VLOOKUP(BK165,Fundamentus!A:U,12,FALSE)&lt;6,"Muita barata",IF(VLOOKUP(BK165,Fundamentus!A:U,12,FALSE)&lt;6,"Barata",IF(VLOOKUP(BK165,Fundamentus!A:U,12,FALSE)&lt;8,"Atrativa",IF(VLOOKUP(BK165,Fundamentus!A:U,12,FALSE)&gt;8,"Supervalorizada","n/a")))))</f>
        <v>Supervalorizada</v>
      </c>
      <c r="EW165" s="20" t="str">
        <f>IF(VLOOKUP(BK165,Fundamentus!A:U,17,FALSE)&lt;0.1,"Fraco retorno",IF(VLOOKUP(BK165,Fundamentus!A:U,17,FALSE)&gt;0.1,"Bom retorno","n/a"))</f>
        <v>Fraco retorno</v>
      </c>
      <c r="EX165" s="20" t="str">
        <f>IF(VLOOKUP(BK165,Fundamentus!A:U,16,FALSE)&lt;0.1,"Ineficiente",IF(VLOOKUP(BK165,Fundamentus!A:U,16,FALSE)&gt;0.1,"Eficiente","n/a"))</f>
        <v>Ineficiente</v>
      </c>
      <c r="EY165" s="41" t="str">
        <f>IF(VLOOKUP(BK165,Fundamentus!A:U,16,FALSE)&lt;0.1,"Oper. Ineficiente",IF(VLOOKUP(BK165,Fundamentus!A:U,16,FALSE)&gt;0.1,"Oper.Eficiente","n/a"))</f>
        <v>Oper. Ineficiente</v>
      </c>
      <c r="EZ165" s="42">
        <f>VLOOKUP(BK165,Fundamentus!A:U,14,FALSE)</f>
        <v>-6.1699999999999998E-2</v>
      </c>
      <c r="FA165" s="20" t="str">
        <f>IF(VLOOKUP(BK165,Fundamentus!A:U,21,FALSE)&lt;0,"Negativo",IF(VLOOKUP(BK165,Fundamentus!A:U,21,FALSE)&lt;0.05,"Fraco",IF(VLOOKUP(BK165,Fundamentus!A:U,21,FALSE)&lt;0.1,"Bom",IF(VLOOKUP(BK165,Fundamentus!A:U,21,FALSE)&gt;0.1,"Muito bom","n/a"))))</f>
        <v>Muito bom</v>
      </c>
      <c r="FC165" s="37" t="str">
        <f>IF(VLOOKUP(BK165,Fundamentus!A:U,15,FALSE)&gt;1,"Bom",IF(VLOOKUP(BK165,Fundamentus!A:U,15,FALSE)&lt;1,"Ruim","n/a"))</f>
        <v>Bom</v>
      </c>
      <c r="FD165" s="20" t="str">
        <f>IF(VLOOKUP(BK165,Fundamentus!A:U,20,FALSE)&lt;0.5,"Baixa",IF(VLOOKUP(BK165,Fundamentus!A:U,20,FALSE)&lt;1,"Moderada",IF(VLOOKUP(BK165,Fundamentus!A:U,20,FALSE)&lt;2,"Alerta",IF(VLOOKUP(BK165,Fundamentus!A:U,20,FALSE)&gt;2,"Alta","n/a"))))</f>
        <v>Moderada</v>
      </c>
      <c r="FE165" s="10"/>
    </row>
    <row r="166" spans="1:161" s="2" customFormat="1" ht="11.25" hidden="1"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8">
        <v>3.57</v>
      </c>
      <c r="BC166" s="62">
        <v>3.66</v>
      </c>
      <c r="BD166" s="62">
        <v>3.82</v>
      </c>
      <c r="BE166" s="62">
        <v>3.76</v>
      </c>
      <c r="BF166" s="62">
        <v>3.93</v>
      </c>
      <c r="BG166" s="81">
        <v>4.08</v>
      </c>
      <c r="BH166" s="62">
        <v>4.13</v>
      </c>
      <c r="BI166" s="62">
        <v>4.0599999999999996</v>
      </c>
      <c r="BJ166" s="62" cm="1">
        <f t="array" aca="1" ref="BJ166" ca="1">_FV(EH166,"Preço")</f>
        <v>4.0199999999999996</v>
      </c>
      <c r="BK166" s="83" t="s">
        <v>162</v>
      </c>
      <c r="BL166" s="44" cm="1">
        <f t="array" aca="1" ref="BL166" ca="1">_FV(EH166,"Média de volume",TRUE)</f>
        <v>6043580</v>
      </c>
      <c r="BM166" s="44">
        <v>8173700</v>
      </c>
      <c r="BN166" s="44" cm="1">
        <f t="array" aca="1" ref="BN166" ca="1">_FV(EH166,"Volume")</f>
        <v>2148700</v>
      </c>
      <c r="BO166" s="32" cm="1">
        <f t="array" aca="1" ref="BO166" ca="1">_FV(EH166,"Beta")</f>
        <v>1.1652</v>
      </c>
      <c r="BP166" s="86" cm="1">
        <f t="array" aca="1" ref="BP166" ca="1">_FV(EH166,"Variação (%)",TRUE)</f>
        <v>-9.8519999999999996E-3</v>
      </c>
      <c r="BQ166" s="48"/>
      <c r="BR166" s="48"/>
      <c r="BT166" s="20" cm="1">
        <f t="array" aca="1" ref="BT166" ca="1">_FV(EH166,"Baixo")</f>
        <v>4.01</v>
      </c>
      <c r="BU166" s="20" cm="1">
        <f t="array" aca="1" ref="BU166" ca="1">_FV(EH166,"Alto")</f>
        <v>4.1100000000000003</v>
      </c>
      <c r="BV166" s="32"/>
      <c r="BW166" s="73">
        <f ca="1">SQRT(22.5*(BJ166/VLOOKUP(BK166,Fundamentus!A:U,3,FALSE))*(BJ166/VLOOKUP(BK166,Fundamentus!A:U,4,FALSE)))</f>
        <v>2.4763160822729513</v>
      </c>
      <c r="BY166" s="72">
        <f t="shared" ca="1" si="135"/>
        <v>-9.8522167487684834E-3</v>
      </c>
      <c r="BZ166" s="8"/>
      <c r="CA166" s="71">
        <f t="shared" si="143"/>
        <v>2.58</v>
      </c>
      <c r="CB166" s="71">
        <f t="shared" si="136"/>
        <v>5.13</v>
      </c>
      <c r="CC166" s="71">
        <f t="shared" si="144"/>
        <v>3.8650000000000002</v>
      </c>
      <c r="CD166" s="17"/>
      <c r="CE166" s="43">
        <f t="shared" si="141"/>
        <v>4.0123517693976911</v>
      </c>
      <c r="CF166" s="18">
        <f>FORECAST("04/07/2025", BF166:BI166, $BF$5:$BI$5)</f>
        <v>4.160000000000025</v>
      </c>
      <c r="CG166" s="43">
        <f t="shared" si="142"/>
        <v>4.3076482306023589</v>
      </c>
      <c r="CI166" s="17"/>
      <c r="CJ166" s="20">
        <f>CA166-2*(CB166-CM166)</f>
        <v>0.16666666666666696</v>
      </c>
      <c r="CK166" s="20">
        <f>CM166-(CB166-CA166)</f>
        <v>1.3733333333333335</v>
      </c>
      <c r="CL166" s="20">
        <f>2*CM166-CB166</f>
        <v>2.7166666666666668</v>
      </c>
      <c r="CM166" s="48">
        <f>(CB166+CA166+BI166)/3</f>
        <v>3.9233333333333333</v>
      </c>
      <c r="CN166" s="20">
        <f>2*CM166-CA166</f>
        <v>5.2666666666666666</v>
      </c>
      <c r="CO166" s="20">
        <f>CM166+(CB166-CA166)</f>
        <v>6.4733333333333327</v>
      </c>
      <c r="CP166" s="20">
        <f>CB166+2*(CM166-CA166)</f>
        <v>7.8166666666666664</v>
      </c>
      <c r="CQ166" s="2" cm="1">
        <f t="array" aca="1" ref="CQ166" ca="1">MAX(_xlfn._xlws.FILTER(CJ166:CP166,CJ166:CP166&lt;BJ166))</f>
        <v>3.9233333333333333</v>
      </c>
      <c r="CR166" s="2" cm="1">
        <f t="array" aca="1" ref="CR166" ca="1">MIN(_xlfn._xlws.FILTER($CJ166:$CP166,$CJ166:$CP166&gt;BJ166))</f>
        <v>5.2666666666666666</v>
      </c>
      <c r="CS166" s="19">
        <f t="shared" ca="1" si="145"/>
        <v>0.3423959218351742</v>
      </c>
      <c r="CT166" s="23">
        <f t="shared" ca="1" si="146"/>
        <v>-0.1711979609175871</v>
      </c>
      <c r="CU166" s="23">
        <f t="shared" ca="1" si="147"/>
        <v>-0.11413197394505807</v>
      </c>
      <c r="CV166" s="23">
        <f t="shared" ca="1" si="148"/>
        <v>-6.8479184367034845E-2</v>
      </c>
      <c r="CW166" s="23">
        <f t="shared" ca="1" si="149"/>
        <v>-3.8043991315019357E-2</v>
      </c>
      <c r="CX166" s="23">
        <f t="shared" ca="1" si="150"/>
        <v>-2.0140936578539659E-2</v>
      </c>
      <c r="CY166" s="23">
        <f t="shared" ca="1" si="151"/>
        <v>-1.0375633995005278E-2</v>
      </c>
      <c r="CZ166" s="23">
        <f t="shared" ca="1" si="152"/>
        <v>-5.267629566694988E-3</v>
      </c>
      <c r="DA166" s="24">
        <f t="shared" ca="1" si="153"/>
        <v>5.267629566694988E-3</v>
      </c>
      <c r="DB166" s="24">
        <f t="shared" ca="1" si="154"/>
        <v>1.0375633995005278E-2</v>
      </c>
      <c r="DC166" s="24">
        <f t="shared" ca="1" si="155"/>
        <v>2.0140936578539659E-2</v>
      </c>
      <c r="DD166" s="24">
        <f t="shared" ca="1" si="156"/>
        <v>3.8043991315019357E-2</v>
      </c>
      <c r="DE166" s="24">
        <f t="shared" ca="1" si="157"/>
        <v>6.8479184367034845E-2</v>
      </c>
      <c r="DF166" s="24">
        <f t="shared" ca="1" si="158"/>
        <v>0.11413197394505807</v>
      </c>
      <c r="DG166" s="24">
        <f t="shared" ca="1" si="159"/>
        <v>0.1711979609175871</v>
      </c>
      <c r="DI166" s="19" cm="1">
        <f t="array" aca="1" ref="DI166" ca="1">MAX(_xlfn._xlws.FILTER(CT166:DG166,CT166:DG166&lt;BP166))</f>
        <v>-1.0375633995005278E-2</v>
      </c>
      <c r="DJ166" s="19" cm="1">
        <f t="array" aca="1" ref="DJ166" ca="1">MIN(_xlfn._xlws.FILTER(CT166:DG166,CT166:DG166&gt;BP166))</f>
        <v>-5.267629566694988E-3</v>
      </c>
      <c r="DK166" s="2" cm="1">
        <f t="array" aca="1" ref="DK166" ca="1">_FV(EH166,"Fechamento anterior",TRUE)</f>
        <v>4.0599999999999996</v>
      </c>
      <c r="DL166" s="36">
        <f ca="1">(BJ166-DM166)/(DN166-DM166)</f>
        <v>0.10247000635626836</v>
      </c>
      <c r="DM166" s="18">
        <f t="shared" ca="1" si="160"/>
        <v>4.0178749259802782</v>
      </c>
      <c r="DN166" s="18">
        <f t="shared" ca="1" si="161"/>
        <v>4.0386134239592177</v>
      </c>
      <c r="DO166" s="9"/>
      <c r="DP166" s="9"/>
      <c r="DQ166" s="94">
        <v>7.6206318655441807E-3</v>
      </c>
      <c r="DR166" s="94">
        <v>8.2214893780197789E-3</v>
      </c>
      <c r="DS166" s="94">
        <v>9.7971180144507484E-3</v>
      </c>
      <c r="DT166" s="94">
        <f t="shared" ca="1" si="137"/>
        <v>5.1080044283102902E-3</v>
      </c>
      <c r="DU166" s="87">
        <f ca="1">(BJ166-CF166)/(CF166-CE166)</f>
        <v>-0.9481996460702079</v>
      </c>
      <c r="DV166" s="46"/>
      <c r="DW166" s="43">
        <f>_xlfn.STDEV.P(BF166:BI166)</f>
        <v>7.3824115301166907E-2</v>
      </c>
      <c r="DX166" s="76">
        <f ca="1">BO166-$DT$2</f>
        <v>0.16809999999999992</v>
      </c>
      <c r="DY166" s="76">
        <f ca="1">BO166-BP166*100</f>
        <v>2.1503999999999999</v>
      </c>
      <c r="DZ166" s="101"/>
      <c r="EA166" s="100">
        <v>-1.1299000000000001</v>
      </c>
      <c r="EB166" s="107">
        <v>1.0004</v>
      </c>
      <c r="EC166" s="107">
        <v>-1.9877999999999998</v>
      </c>
      <c r="ED166" s="98">
        <f t="shared" ca="1" si="138"/>
        <v>-1.9823</v>
      </c>
      <c r="EE166" s="66"/>
      <c r="EF166" s="66"/>
      <c r="EH166" s="2" t="e" vm="168">
        <v>#VALUE!</v>
      </c>
      <c r="EJ166" s="10" cm="1">
        <f t="array" aca="1" ref="EJ166" ca="1">_FV(EH166,"Ações em circulação",TRUE)</f>
        <v>562886500</v>
      </c>
      <c r="EK166" s="21">
        <f>VLOOKUP(BK166,Fundamentus!A:U,5,FALSE)</f>
        <v>1.6419999999999999</v>
      </c>
      <c r="EL166" s="2">
        <f ca="1">(BJ166*EJ166)/EK166</f>
        <v>1378077789.281364</v>
      </c>
      <c r="EM166" s="20">
        <v>32428707.141900126</v>
      </c>
      <c r="EN166" s="20">
        <f t="shared" ca="1" si="139"/>
        <v>32109212.490255781</v>
      </c>
      <c r="EP166" s="19">
        <f t="shared" ca="1" si="134"/>
        <v>-9.8522167487687939E-3</v>
      </c>
      <c r="EQ166" s="40" t="str">
        <f>IF(VLOOKUP(BK166,Fundamentus!A:U,3,FALSE)&lt;15,"Bom",IF(VLOOKUP(BK166,Fundamentus!A:U,3,FALSE)&gt;15,"Ruim","n/a"))</f>
        <v>Ruim</v>
      </c>
      <c r="ER166" s="36" t="str">
        <f>IF(VLOOKUP(BK166,Fundamentus!A:U,4,FALSE)&lt;1,"Baixo",IF(VLOOKUP(BK166,Fundamentus!A:U,4,FALSE)&lt;1.5,"Moderado",IF(VLOOKUP(BK166,Fundamentus!A:U,4,FALSE)&gt;1.5,"Alto","n/a")))</f>
        <v>Baixo</v>
      </c>
      <c r="ES166" s="20" t="str">
        <f>IF(VLOOKUP(BK166,Fundamentus!A:U,8,FALSE)&lt;0,"Risco elevado",IF(VLOOKUP(BK166,Fundamentus!A:U,8,FALSE)&lt;1,"Saudável",IF(VLOOKUP(BK166,Fundamentus!A:U,8,FALSE)&lt;3,"Estável",IF(VLOOKUP(BK166,Fundamentus!A:U,8,FALSE)&gt;3,"Alerta","n/a"))))</f>
        <v>Alerta</v>
      </c>
      <c r="ET166" s="36" t="str">
        <f t="shared" si="140"/>
        <v>Bom</v>
      </c>
      <c r="EU166" s="20" t="str">
        <f>IF(VLOOKUP(BK166,Fundamentus!A:U,12,FALSE)&lt;2,"Subvalorizada",IF(VLOOKUP(BK166,Fundamentus!A:U,12,FALSE)&lt;6,"Muita barata",IF(VLOOKUP(BK166,Fundamentus!A:U,12,FALSE)&lt;6,"Barata",IF(VLOOKUP(BK166,Fundamentus!A:U,12,FALSE)&lt;8,"Atrativa",IF(VLOOKUP(BK166,Fundamentus!A:U,12,FALSE)&gt;8,"Supervalorizada","n/a")))))</f>
        <v>Atrativa</v>
      </c>
      <c r="EW166" s="20" t="str">
        <f>IF(VLOOKUP(BK166,Fundamentus!A:U,17,FALSE)&lt;0.1,"Fraco retorno",IF(VLOOKUP(BK166,Fundamentus!A:U,17,FALSE)&gt;0.1,"Bom retorno","n/a"))</f>
        <v>Fraco retorno</v>
      </c>
      <c r="EX166" s="20" t="str">
        <f>IF(VLOOKUP(BK166,Fundamentus!A:U,16,FALSE)&lt;0.1,"Ineficiente",IF(VLOOKUP(BK166,Fundamentus!A:U,16,FALSE)&gt;0.1,"Eficiente","n/a"))</f>
        <v>Ineficiente</v>
      </c>
      <c r="EY166" s="41" t="str">
        <f>IF(VLOOKUP(BK166,Fundamentus!A:U,16,FALSE)&lt;0.1,"Oper. Ineficiente",IF(VLOOKUP(BK166,Fundamentus!A:U,16,FALSE)&gt;0.1,"Oper.Eficiente","n/a"))</f>
        <v>Oper. Ineficiente</v>
      </c>
      <c r="EZ166" s="42">
        <f>VLOOKUP(BK166,Fundamentus!A:U,14,FALSE)</f>
        <v>2.3300000000000001E-2</v>
      </c>
      <c r="FA166" s="20" t="str">
        <f>IF(VLOOKUP(BK166,Fundamentus!A:U,21,FALSE)&lt;0,"Negativo",IF(VLOOKUP(BK166,Fundamentus!A:U,21,FALSE)&lt;0.05,"Fraco",IF(VLOOKUP(BK166,Fundamentus!A:U,21,FALSE)&lt;0.1,"Bom",IF(VLOOKUP(BK166,Fundamentus!A:U,21,FALSE)&gt;0.1,"Muito bom","n/a"))))</f>
        <v>Muito bom</v>
      </c>
      <c r="FC166" s="37" t="str">
        <f>IF(VLOOKUP(BK166,Fundamentus!A:U,15,FALSE)&gt;1,"Bom",IF(VLOOKUP(BK166,Fundamentus!A:U,15,FALSE)&lt;1,"Ruim","n/a"))</f>
        <v>Bom</v>
      </c>
      <c r="FD166" s="20" t="str">
        <f>IF(VLOOKUP(BK166,Fundamentus!A:U,20,FALSE)&lt;0.5,"Baixa",IF(VLOOKUP(BK166,Fundamentus!A:U,20,FALSE)&lt;1,"Moderada",IF(VLOOKUP(BK166,Fundamentus!A:U,20,FALSE)&lt;2,"Alerta",IF(VLOOKUP(BK166,Fundamentus!A:U,20,FALSE)&gt;2,"Alta","n/a"))))</f>
        <v>Baixa</v>
      </c>
      <c r="FE166" s="10"/>
    </row>
    <row r="167" spans="1:161" s="2" customFormat="1" ht="11.25" hidden="1"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8">
        <v>1.39</v>
      </c>
      <c r="BC167" s="62">
        <v>1.5</v>
      </c>
      <c r="BD167" s="62">
        <v>1.6</v>
      </c>
      <c r="BE167" s="62">
        <v>1.75</v>
      </c>
      <c r="BF167" s="62">
        <v>1.66</v>
      </c>
      <c r="BG167" s="81">
        <v>1.65</v>
      </c>
      <c r="BH167" s="62">
        <v>1.64</v>
      </c>
      <c r="BI167" s="62">
        <v>1.67</v>
      </c>
      <c r="BJ167" s="62" cm="1">
        <f t="array" aca="1" ref="BJ167" ca="1">_FV(EH167,"Preço")</f>
        <v>1.65</v>
      </c>
      <c r="BK167" s="83" t="s">
        <v>163</v>
      </c>
      <c r="BL167" s="44" cm="1">
        <f t="array" aca="1" ref="BL167" ca="1">_FV(EH167,"Média de volume",TRUE)</f>
        <v>72740</v>
      </c>
      <c r="BM167" s="44">
        <v>119000</v>
      </c>
      <c r="BN167" s="44" cm="1">
        <f t="array" aca="1" ref="BN167" ca="1">_FV(EH167,"Volume")</f>
        <v>44600</v>
      </c>
      <c r="BO167" s="32" cm="1">
        <f t="array" aca="1" ref="BO167" ca="1">_FV(EH167,"Beta")</f>
        <v>1.2806999999999999</v>
      </c>
      <c r="BP167" s="86" cm="1">
        <f t="array" aca="1" ref="BP167" ca="1">_FV(EH167,"Variação (%)",TRUE)</f>
        <v>-1.1976000000000001E-2</v>
      </c>
      <c r="BQ167" s="48"/>
      <c r="BR167" s="48"/>
      <c r="BT167" s="20" cm="1">
        <f t="array" aca="1" ref="BT167" ca="1">_FV(EH167,"Baixo")</f>
        <v>1.62</v>
      </c>
      <c r="BU167" s="20" cm="1">
        <f t="array" aca="1" ref="BU167" ca="1">_FV(EH167,"Alto")</f>
        <v>1.7</v>
      </c>
      <c r="BV167" s="32"/>
      <c r="BW167" s="73">
        <f ca="1">SQRT(22.5*(BJ167/VLOOKUP(BK167,Fundamentus!A:U,3,FALSE))*(BJ167/VLOOKUP(BK167,Fundamentus!A:U,4,FALSE)))</f>
        <v>2.2263442707157846</v>
      </c>
      <c r="BY167" s="72">
        <f t="shared" ca="1" si="135"/>
        <v>-1.1976047904191628E-2</v>
      </c>
      <c r="BZ167" s="8"/>
      <c r="CA167" s="71">
        <f t="shared" si="143"/>
        <v>1.17</v>
      </c>
      <c r="CB167" s="71">
        <f t="shared" si="136"/>
        <v>2.31</v>
      </c>
      <c r="CC167" s="71">
        <f t="shared" si="144"/>
        <v>1.6370491803278691</v>
      </c>
      <c r="CD167" s="17"/>
      <c r="CE167" s="43">
        <f t="shared" si="141"/>
        <v>1.6376393202250004</v>
      </c>
      <c r="CF167" s="18">
        <f>FORECAST("04/07/2025", BF167:BI167, $BF$5:$BI$5)</f>
        <v>1.6599999999999984</v>
      </c>
      <c r="CG167" s="43">
        <f t="shared" si="142"/>
        <v>1.6823606797749964</v>
      </c>
      <c r="CI167" s="17"/>
      <c r="CJ167" s="20">
        <f>CA167-2*(CB167-CM167)</f>
        <v>-1.6666666666666607E-2</v>
      </c>
      <c r="CK167" s="20">
        <f>CM167-(CB167-CA167)</f>
        <v>0.57666666666666666</v>
      </c>
      <c r="CL167" s="20">
        <f>2*CM167-CB167</f>
        <v>1.1233333333333335</v>
      </c>
      <c r="CM167" s="48">
        <f>(CB167+CA167+BI167)/3</f>
        <v>1.7166666666666668</v>
      </c>
      <c r="CN167" s="20">
        <f>2*CM167-CA167</f>
        <v>2.2633333333333336</v>
      </c>
      <c r="CO167" s="20">
        <f>CM167+(CB167-CA167)</f>
        <v>2.8566666666666669</v>
      </c>
      <c r="CP167" s="20">
        <f>CB167+2*(CM167-CA167)</f>
        <v>3.4033333333333338</v>
      </c>
      <c r="CQ167" s="2" cm="1">
        <f t="array" aca="1" ref="CQ167" ca="1">MAX(_xlfn._xlws.FILTER(CJ167:CP167,CJ167:CP167&lt;BJ167))</f>
        <v>1.1233333333333335</v>
      </c>
      <c r="CR167" s="2" cm="1">
        <f t="array" aca="1" ref="CR167" ca="1">MIN(_xlfn._xlws.FILTER($CJ167:$CP167,$CJ167:$CP167&gt;BJ167))</f>
        <v>1.7166666666666668</v>
      </c>
      <c r="CS167" s="19">
        <f t="shared" ca="1" si="145"/>
        <v>0.52818991097922829</v>
      </c>
      <c r="CT167" s="23">
        <f t="shared" ca="1" si="146"/>
        <v>-0.26409495548961415</v>
      </c>
      <c r="CU167" s="23">
        <f t="shared" ca="1" si="147"/>
        <v>-0.17606330365974276</v>
      </c>
      <c r="CV167" s="23">
        <f t="shared" ca="1" si="148"/>
        <v>-0.10563798219584566</v>
      </c>
      <c r="CW167" s="23">
        <f t="shared" ca="1" si="149"/>
        <v>-5.8687767886580922E-2</v>
      </c>
      <c r="CX167" s="23">
        <f t="shared" ca="1" si="150"/>
        <v>-3.1069994763484016E-2</v>
      </c>
      <c r="CY167" s="23">
        <f t="shared" ca="1" si="151"/>
        <v>-1.6005754878158432E-2</v>
      </c>
      <c r="CZ167" s="23">
        <f t="shared" ca="1" si="152"/>
        <v>-8.1259986304496653E-3</v>
      </c>
      <c r="DA167" s="24">
        <f t="shared" ca="1" si="153"/>
        <v>8.1259986304496653E-3</v>
      </c>
      <c r="DB167" s="24">
        <f t="shared" ca="1" si="154"/>
        <v>1.6005754878158432E-2</v>
      </c>
      <c r="DC167" s="24">
        <f t="shared" ca="1" si="155"/>
        <v>3.1069994763484016E-2</v>
      </c>
      <c r="DD167" s="24">
        <f t="shared" ca="1" si="156"/>
        <v>5.8687767886580922E-2</v>
      </c>
      <c r="DE167" s="24">
        <f t="shared" ca="1" si="157"/>
        <v>0.10563798219584566</v>
      </c>
      <c r="DF167" s="24">
        <f t="shared" ca="1" si="158"/>
        <v>0.17606330365974276</v>
      </c>
      <c r="DG167" s="24">
        <f t="shared" ca="1" si="159"/>
        <v>0.26409495548961415</v>
      </c>
      <c r="DI167" s="19" cm="1">
        <f t="array" aca="1" ref="DI167" ca="1">MAX(_xlfn._xlws.FILTER(CT167:DG167,CT167:DG167&lt;BP167))</f>
        <v>-1.6005754878158432E-2</v>
      </c>
      <c r="DJ167" s="19" cm="1">
        <f t="array" aca="1" ref="DJ167" ca="1">MIN(_xlfn._xlws.FILTER(CT167:DG167,CT167:DG167&gt;BP167))</f>
        <v>-8.1259986304496653E-3</v>
      </c>
      <c r="DK167" s="2" cm="1">
        <f t="array" aca="1" ref="DK167" ca="1">_FV(EH167,"Fechamento anterior",TRUE)</f>
        <v>1.67</v>
      </c>
      <c r="DL167" s="36">
        <f ca="1">(BJ167-DM167)/(DN167-DM167)</f>
        <v>0.51139995290317997</v>
      </c>
      <c r="DM167" s="18">
        <f t="shared" ca="1" si="160"/>
        <v>1.6432703893534752</v>
      </c>
      <c r="DN167" s="18">
        <f t="shared" ca="1" si="161"/>
        <v>1.6564295822871491</v>
      </c>
      <c r="DO167" s="9"/>
      <c r="DP167" s="9"/>
      <c r="DQ167" s="94">
        <v>1.4939309056956122E-2</v>
      </c>
      <c r="DR167" s="94">
        <v>4.2624042624042641E-3</v>
      </c>
      <c r="DS167" s="94">
        <v>1.5416486004721303E-2</v>
      </c>
      <c r="DT167" s="94">
        <f t="shared" ca="1" si="137"/>
        <v>7.8797562477087666E-3</v>
      </c>
      <c r="DU167" s="87">
        <f ca="1">(BJ167-CF167)/(CF167-CE167)</f>
        <v>-0.44721359549988665</v>
      </c>
      <c r="DV167" s="46"/>
      <c r="DW167" s="43">
        <f>_xlfn.STDEV.P(BF167:BI167)</f>
        <v>1.1180339887498959E-2</v>
      </c>
      <c r="DX167" s="76">
        <f ca="1">BO167-$DT$2</f>
        <v>0.28359999999999985</v>
      </c>
      <c r="DY167" s="76">
        <f ca="1">BO167-BP167*100</f>
        <v>2.4782999999999999</v>
      </c>
      <c r="DZ167" s="101"/>
      <c r="EA167" s="100">
        <v>-1.4870000000000001</v>
      </c>
      <c r="EB167" s="107">
        <v>0.63580000000000014</v>
      </c>
      <c r="EC167" s="107">
        <v>4.5559000000000003</v>
      </c>
      <c r="ED167" s="98">
        <f t="shared" ca="1" si="138"/>
        <v>-2.1947000000000001</v>
      </c>
      <c r="EE167" s="66"/>
      <c r="EF167" s="66"/>
      <c r="EH167" s="2" t="e" vm="169">
        <v>#VALUE!</v>
      </c>
      <c r="EJ167" s="10" cm="1">
        <f t="array" aca="1" ref="EJ167" ca="1">_FV(EH167,"Ações em circulação",TRUE)</f>
        <v>147554600</v>
      </c>
      <c r="EK167" s="21">
        <f>VLOOKUP(BK167,Fundamentus!A:U,5,FALSE)</f>
        <v>1.2010000000000001</v>
      </c>
      <c r="EL167" s="2">
        <f ca="1">(BJ167*EJ167)/EK167</f>
        <v>202718642.79766861</v>
      </c>
      <c r="EM167" s="20">
        <v>33648837.508742712</v>
      </c>
      <c r="EN167" s="20">
        <f t="shared" ca="1" si="139"/>
        <v>33245857.418817654</v>
      </c>
      <c r="EP167" s="19">
        <f t="shared" ca="1" si="134"/>
        <v>-1.1976047904191489E-2</v>
      </c>
      <c r="EQ167" s="40" t="str">
        <f>IF(VLOOKUP(BK167,Fundamentus!A:U,3,FALSE)&lt;15,"Bom",IF(VLOOKUP(BK167,Fundamentus!A:U,3,FALSE)&gt;15,"Ruim","n/a"))</f>
        <v>Bom</v>
      </c>
      <c r="ER167" s="36" t="str">
        <f>IF(VLOOKUP(BK167,Fundamentus!A:U,4,FALSE)&lt;1,"Baixo",IF(VLOOKUP(BK167,Fundamentus!A:U,4,FALSE)&lt;1.5,"Moderado",IF(VLOOKUP(BK167,Fundamentus!A:U,4,FALSE)&gt;1.5,"Alto","n/a")))</f>
        <v>Moderado</v>
      </c>
      <c r="ES167" s="20" t="str">
        <f>IF(VLOOKUP(BK167,Fundamentus!A:U,8,FALSE)&lt;0,"Risco elevado",IF(VLOOKUP(BK167,Fundamentus!A:U,8,FALSE)&lt;1,"Saudável",IF(VLOOKUP(BK167,Fundamentus!A:U,8,FALSE)&lt;3,"Estável",IF(VLOOKUP(BK167,Fundamentus!A:U,8,FALSE)&gt;3,"Alerta","n/a"))))</f>
        <v>Alerta</v>
      </c>
      <c r="ET167" s="36" t="str">
        <f t="shared" si="140"/>
        <v>Bom</v>
      </c>
      <c r="EU167" s="20" t="str">
        <f>IF(VLOOKUP(BK167,Fundamentus!A:U,12,FALSE)&lt;2,"Subvalorizada",IF(VLOOKUP(BK167,Fundamentus!A:U,12,FALSE)&lt;6,"Muita barata",IF(VLOOKUP(BK167,Fundamentus!A:U,12,FALSE)&lt;6,"Barata",IF(VLOOKUP(BK167,Fundamentus!A:U,12,FALSE)&lt;8,"Atrativa",IF(VLOOKUP(BK167,Fundamentus!A:U,12,FALSE)&gt;8,"Supervalorizada","n/a")))))</f>
        <v>Muita barata</v>
      </c>
      <c r="EW167" s="20" t="str">
        <f>IF(VLOOKUP(BK167,Fundamentus!A:U,17,FALSE)&lt;0.1,"Fraco retorno",IF(VLOOKUP(BK167,Fundamentus!A:U,17,FALSE)&gt;0.1,"Bom retorno","n/a"))</f>
        <v>Fraco retorno</v>
      </c>
      <c r="EX167" s="20" t="str">
        <f>IF(VLOOKUP(BK167,Fundamentus!A:U,16,FALSE)&lt;0.1,"Ineficiente",IF(VLOOKUP(BK167,Fundamentus!A:U,16,FALSE)&gt;0.1,"Eficiente","n/a"))</f>
        <v>Eficiente</v>
      </c>
      <c r="EY167" s="41" t="str">
        <f>IF(VLOOKUP(BK167,Fundamentus!A:U,16,FALSE)&lt;0.1,"Oper. Ineficiente",IF(VLOOKUP(BK167,Fundamentus!A:U,16,FALSE)&gt;0.1,"Oper.Eficiente","n/a"))</f>
        <v>Oper.Eficiente</v>
      </c>
      <c r="EZ167" s="42">
        <f>VLOOKUP(BK167,Fundamentus!A:U,14,FALSE)</f>
        <v>0.16400000000000001</v>
      </c>
      <c r="FA167" s="20" t="str">
        <f>IF(VLOOKUP(BK167,Fundamentus!A:U,21,FALSE)&lt;0,"Negativo",IF(VLOOKUP(BK167,Fundamentus!A:U,21,FALSE)&lt;0.05,"Fraco",IF(VLOOKUP(BK167,Fundamentus!A:U,21,FALSE)&lt;0.1,"Bom",IF(VLOOKUP(BK167,Fundamentus!A:U,21,FALSE)&gt;0.1,"Muito bom","n/a"))))</f>
        <v>Negativo</v>
      </c>
      <c r="FC167" s="37" t="str">
        <f>IF(VLOOKUP(BK167,Fundamentus!A:U,15,FALSE)&gt;1,"Bom",IF(VLOOKUP(BK167,Fundamentus!A:U,15,FALSE)&lt;1,"Ruim","n/a"))</f>
        <v>Bom</v>
      </c>
      <c r="FD167" s="20" t="str">
        <f>IF(VLOOKUP(BK167,Fundamentus!A:U,20,FALSE)&lt;0.5,"Baixa",IF(VLOOKUP(BK167,Fundamentus!A:U,20,FALSE)&lt;1,"Moderada",IF(VLOOKUP(BK167,Fundamentus!A:U,20,FALSE)&lt;2,"Alerta",IF(VLOOKUP(BK167,Fundamentus!A:U,20,FALSE)&gt;2,"Alta","n/a"))))</f>
        <v>Baixa</v>
      </c>
      <c r="FE167" s="10"/>
    </row>
    <row r="168" spans="1:161" s="2" customFormat="1" ht="11.25" hidden="1"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8">
        <v>3.82</v>
      </c>
      <c r="BC168" s="62">
        <v>4.28</v>
      </c>
      <c r="BD168" s="62">
        <v>4.01</v>
      </c>
      <c r="BE168" s="62">
        <v>4.03</v>
      </c>
      <c r="BF168" s="62">
        <v>3.88</v>
      </c>
      <c r="BG168" s="81">
        <v>3.99</v>
      </c>
      <c r="BH168" s="62">
        <v>4</v>
      </c>
      <c r="BI168" s="62">
        <v>3.87</v>
      </c>
      <c r="BJ168" s="62" cm="1">
        <f t="array" aca="1" ref="BJ168" ca="1">_FV(EH168,"Preço")</f>
        <v>3.96</v>
      </c>
      <c r="BK168" s="83" t="s">
        <v>164</v>
      </c>
      <c r="BL168" s="44" cm="1">
        <f t="array" aca="1" ref="BL168" ca="1">_FV(EH168,"Média de volume",TRUE)</f>
        <v>630410</v>
      </c>
      <c r="BM168" s="44">
        <v>231700</v>
      </c>
      <c r="BN168" s="44" cm="1">
        <f t="array" aca="1" ref="BN168" ca="1">_FV(EH168,"Volume")</f>
        <v>157500</v>
      </c>
      <c r="BO168" s="32" cm="1">
        <f t="array" aca="1" ref="BO168" ca="1">_FV(EH168,"Beta")</f>
        <v>2.0101</v>
      </c>
      <c r="BP168" s="86" cm="1">
        <f t="array" aca="1" ref="BP168" ca="1">_FV(EH168,"Variação (%)",TRUE)</f>
        <v>2.3256000000000002E-2</v>
      </c>
      <c r="BQ168" s="48"/>
      <c r="BR168" s="48"/>
      <c r="BT168" s="20" cm="1">
        <f t="array" aca="1" ref="BT168" ca="1">_FV(EH168,"Baixo")</f>
        <v>3.88</v>
      </c>
      <c r="BU168" s="20" cm="1">
        <f t="array" aca="1" ref="BU168" ca="1">_FV(EH168,"Alto")</f>
        <v>3.97</v>
      </c>
      <c r="BV168" s="32"/>
      <c r="BW168" s="73">
        <f ca="1">SQRT(22.5*(BJ168/VLOOKUP(BK168,Fundamentus!A:U,3,FALSE))*(BJ168/VLOOKUP(BK168,Fundamentus!A:U,4,FALSE)))</f>
        <v>10.869936309413466</v>
      </c>
      <c r="BY168" s="72">
        <f t="shared" ca="1" si="135"/>
        <v>2.3255813953488334E-2</v>
      </c>
      <c r="BZ168" s="8"/>
      <c r="CA168" s="71">
        <f t="shared" si="143"/>
        <v>2.85</v>
      </c>
      <c r="CB168" s="71">
        <f t="shared" si="136"/>
        <v>4.38</v>
      </c>
      <c r="CC168" s="71">
        <f t="shared" si="144"/>
        <v>3.6285245901639351</v>
      </c>
      <c r="CD168" s="17"/>
      <c r="CE168" s="43">
        <f t="shared" si="141"/>
        <v>3.8095840542120767</v>
      </c>
      <c r="CF168" s="18">
        <f>FORECAST("04/07/2025", BF168:BI168, $BF$5:$BI$5)</f>
        <v>3.9299999999999997</v>
      </c>
      <c r="CG168" s="43">
        <f t="shared" si="142"/>
        <v>4.0504159457879227</v>
      </c>
      <c r="CI168" s="17"/>
      <c r="CJ168" s="20">
        <f>CA168-2*(CB168-CM168)</f>
        <v>1.4900000000000015</v>
      </c>
      <c r="CK168" s="20">
        <f>CM168-(CB168-CA168)</f>
        <v>2.1700000000000008</v>
      </c>
      <c r="CL168" s="20">
        <f>2*CM168-CB168</f>
        <v>3.0200000000000014</v>
      </c>
      <c r="CM168" s="48">
        <f>(CB168+CA168+BI168)/3</f>
        <v>3.7000000000000006</v>
      </c>
      <c r="CN168" s="20">
        <f>2*CM168-CA168</f>
        <v>4.5500000000000007</v>
      </c>
      <c r="CO168" s="20">
        <f>CM168+(CB168-CA168)</f>
        <v>5.23</v>
      </c>
      <c r="CP168" s="20">
        <f>CB168+2*(CM168-CA168)</f>
        <v>6.080000000000001</v>
      </c>
      <c r="CQ168" s="2" cm="1">
        <f t="array" aca="1" ref="CQ168" ca="1">MAX(_xlfn._xlws.FILTER(CJ168:CP168,CJ168:CP168&lt;BJ168))</f>
        <v>3.7000000000000006</v>
      </c>
      <c r="CR168" s="2" cm="1">
        <f t="array" aca="1" ref="CR168" ca="1">MIN(_xlfn._xlws.FILTER($CJ168:$CP168,$CJ168:$CP168&gt;BJ168))</f>
        <v>4.5500000000000007</v>
      </c>
      <c r="CS168" s="19">
        <f t="shared" ca="1" si="145"/>
        <v>0.22972972972972983</v>
      </c>
      <c r="CT168" s="23">
        <f t="shared" ca="1" si="146"/>
        <v>-0.11486486486486491</v>
      </c>
      <c r="CU168" s="23">
        <f t="shared" ca="1" si="147"/>
        <v>-7.6576576576576613E-2</v>
      </c>
      <c r="CV168" s="23">
        <f t="shared" ca="1" si="148"/>
        <v>-4.5945945945945962E-2</v>
      </c>
      <c r="CW168" s="23">
        <f t="shared" ca="1" si="149"/>
        <v>-2.5525525525525537E-2</v>
      </c>
      <c r="CX168" s="23">
        <f t="shared" ca="1" si="150"/>
        <v>-1.3513513513513519E-2</v>
      </c>
      <c r="CY168" s="23">
        <f t="shared" ca="1" si="151"/>
        <v>-6.9615069615069644E-3</v>
      </c>
      <c r="CZ168" s="23">
        <f t="shared" ca="1" si="152"/>
        <v>-3.5343035343035358E-3</v>
      </c>
      <c r="DA168" s="24">
        <f t="shared" ca="1" si="153"/>
        <v>3.5343035343035358E-3</v>
      </c>
      <c r="DB168" s="24">
        <f t="shared" ca="1" si="154"/>
        <v>6.9615069615069644E-3</v>
      </c>
      <c r="DC168" s="24">
        <f t="shared" ca="1" si="155"/>
        <v>1.3513513513513519E-2</v>
      </c>
      <c r="DD168" s="24">
        <f t="shared" ca="1" si="156"/>
        <v>2.5525525525525537E-2</v>
      </c>
      <c r="DE168" s="24">
        <f t="shared" ca="1" si="157"/>
        <v>4.5945945945945962E-2</v>
      </c>
      <c r="DF168" s="24">
        <f t="shared" ca="1" si="158"/>
        <v>7.6576576576576613E-2</v>
      </c>
      <c r="DG168" s="24">
        <f t="shared" ca="1" si="159"/>
        <v>0.11486486486486491</v>
      </c>
      <c r="DI168" s="19" cm="1">
        <f t="array" aca="1" ref="DI168" ca="1">MAX(_xlfn._xlws.FILTER(CT168:DG168,CT168:DG168&lt;BP168))</f>
        <v>1.3513513513513519E-2</v>
      </c>
      <c r="DJ168" s="19" cm="1">
        <f t="array" aca="1" ref="DJ168" ca="1">MIN(_xlfn._xlws.FILTER(CT168:DG168,CT168:DG168&gt;BP168))</f>
        <v>2.5525525525525537E-2</v>
      </c>
      <c r="DK168" s="2" cm="1">
        <f t="array" aca="1" ref="DK168" ca="1">_FV(EH168,"Fechamento anterior",TRUE)</f>
        <v>3.87</v>
      </c>
      <c r="DL168" s="36">
        <f ca="1">(BJ168-DM168)/(DN168-DM168)</f>
        <v>0.8110465116279052</v>
      </c>
      <c r="DM168" s="18">
        <f t="shared" ca="1" si="160"/>
        <v>3.9222972972972974</v>
      </c>
      <c r="DN168" s="18">
        <f t="shared" ca="1" si="161"/>
        <v>3.9687837837837838</v>
      </c>
      <c r="DO168" s="9"/>
      <c r="DP168" s="9"/>
      <c r="DQ168" s="94">
        <v>3.7589706881045429E-3</v>
      </c>
      <c r="DR168" s="94">
        <v>1.3174823735268376E-2</v>
      </c>
      <c r="DS168" s="94">
        <v>6.7869636916507011E-3</v>
      </c>
      <c r="DT168" s="94">
        <f t="shared" ca="1" si="137"/>
        <v>1.2012012012012017E-2</v>
      </c>
      <c r="DU168" s="87">
        <f ca="1">(BJ168-CF168)/(CF168-CE168)</f>
        <v>0.24913643956122181</v>
      </c>
      <c r="DV168" s="46"/>
      <c r="DW168" s="43">
        <f>_xlfn.STDEV.P(BF168:BI168)</f>
        <v>6.0207972893961521E-2</v>
      </c>
      <c r="DX168" s="76">
        <f ca="1">BO168-$DT$2</f>
        <v>1.0129999999999999</v>
      </c>
      <c r="DY168" s="76">
        <f ca="1">BO168-BP168*100</f>
        <v>-0.31550000000000011</v>
      </c>
      <c r="DZ168" s="101"/>
      <c r="EA168" s="100">
        <v>1.0358000000000001</v>
      </c>
      <c r="EB168" s="107">
        <v>-1.1970999999999998</v>
      </c>
      <c r="EC168" s="107">
        <v>-0.84210000000000029</v>
      </c>
      <c r="ED168" s="98">
        <f t="shared" ca="1" si="138"/>
        <v>1.3285</v>
      </c>
      <c r="EE168" s="66"/>
      <c r="EF168" s="66"/>
      <c r="EH168" s="2" t="e" vm="170">
        <v>#VALUE!</v>
      </c>
      <c r="EJ168" s="10" cm="1">
        <f t="array" aca="1" ref="EJ168" ca="1">_FV(EH168,"Ações em circulação",TRUE)</f>
        <v>105774800</v>
      </c>
      <c r="EK168" s="21">
        <f>VLOOKUP(BK168,Fundamentus!A:U,5,FALSE)</f>
        <v>0.36</v>
      </c>
      <c r="EL168" s="2">
        <f ca="1">(BJ168*EJ168)/EK168</f>
        <v>1163522800</v>
      </c>
      <c r="EM168" s="20">
        <v>80732616.099999994</v>
      </c>
      <c r="EN168" s="20">
        <f t="shared" ca="1" si="139"/>
        <v>82610118.799999997</v>
      </c>
      <c r="EP168" s="19">
        <f t="shared" ca="1" si="134"/>
        <v>2.3255813953488413E-2</v>
      </c>
      <c r="EQ168" s="40" t="str">
        <f>IF(VLOOKUP(BK168,Fundamentus!A:U,3,FALSE)&lt;15,"Bom",IF(VLOOKUP(BK168,Fundamentus!A:U,3,FALSE)&gt;15,"Ruim","n/a"))</f>
        <v>Bom</v>
      </c>
      <c r="ER168" s="36" t="str">
        <f>IF(VLOOKUP(BK168,Fundamentus!A:U,4,FALSE)&lt;1,"Baixo",IF(VLOOKUP(BK168,Fundamentus!A:U,4,FALSE)&lt;1.5,"Moderado",IF(VLOOKUP(BK168,Fundamentus!A:U,4,FALSE)&gt;1.5,"Alto","n/a")))</f>
        <v>Baixo</v>
      </c>
      <c r="ES168" s="20" t="str">
        <f>IF(VLOOKUP(BK168,Fundamentus!A:U,8,FALSE)&lt;0,"Risco elevado",IF(VLOOKUP(BK168,Fundamentus!A:U,8,FALSE)&lt;1,"Saudável",IF(VLOOKUP(BK168,Fundamentus!A:U,8,FALSE)&lt;3,"Estável",IF(VLOOKUP(BK168,Fundamentus!A:U,8,FALSE)&gt;3,"Alerta","n/a"))))</f>
        <v>Saudável</v>
      </c>
      <c r="ET168" s="36" t="str">
        <f t="shared" si="140"/>
        <v>Ruim</v>
      </c>
      <c r="EU168" s="20" t="str">
        <f>IF(VLOOKUP(BK168,Fundamentus!A:U,12,FALSE)&lt;2,"Subvalorizada",IF(VLOOKUP(BK168,Fundamentus!A:U,12,FALSE)&lt;6,"Muita barata",IF(VLOOKUP(BK168,Fundamentus!A:U,12,FALSE)&lt;6,"Barata",IF(VLOOKUP(BK168,Fundamentus!A:U,12,FALSE)&lt;8,"Atrativa",IF(VLOOKUP(BK168,Fundamentus!A:U,12,FALSE)&gt;8,"Supervalorizada","n/a")))))</f>
        <v>Atrativa</v>
      </c>
      <c r="EW168" s="20" t="str">
        <f>IF(VLOOKUP(BK168,Fundamentus!A:U,17,FALSE)&lt;0.1,"Fraco retorno",IF(VLOOKUP(BK168,Fundamentus!A:U,17,FALSE)&gt;0.1,"Bom retorno","n/a"))</f>
        <v>Fraco retorno</v>
      </c>
      <c r="EX168" s="20" t="str">
        <f>IF(VLOOKUP(BK168,Fundamentus!A:U,16,FALSE)&lt;0.1,"Ineficiente",IF(VLOOKUP(BK168,Fundamentus!A:U,16,FALSE)&gt;0.1,"Eficiente","n/a"))</f>
        <v>Ineficiente</v>
      </c>
      <c r="EY168" s="41" t="str">
        <f>IF(VLOOKUP(BK168,Fundamentus!A:U,16,FALSE)&lt;0.1,"Oper. Ineficiente",IF(VLOOKUP(BK168,Fundamentus!A:U,16,FALSE)&gt;0.1,"Oper.Eficiente","n/a"))</f>
        <v>Oper. Ineficiente</v>
      </c>
      <c r="EZ168" s="42">
        <f>VLOOKUP(BK168,Fundamentus!A:U,14,FALSE)</f>
        <v>7.0999999999999994E-2</v>
      </c>
      <c r="FA168" s="20" t="str">
        <f>IF(VLOOKUP(BK168,Fundamentus!A:U,21,FALSE)&lt;0,"Negativo",IF(VLOOKUP(BK168,Fundamentus!A:U,21,FALSE)&lt;0.05,"Fraco",IF(VLOOKUP(BK168,Fundamentus!A:U,21,FALSE)&lt;0.1,"Bom",IF(VLOOKUP(BK168,Fundamentus!A:U,21,FALSE)&gt;0.1,"Muito bom","n/a"))))</f>
        <v>Muito bom</v>
      </c>
      <c r="FC168" s="37" t="str">
        <f>IF(VLOOKUP(BK168,Fundamentus!A:U,15,FALSE)&gt;1,"Bom",IF(VLOOKUP(BK168,Fundamentus!A:U,15,FALSE)&lt;1,"Ruim","n/a"))</f>
        <v>Bom</v>
      </c>
      <c r="FD168" s="20" t="str">
        <f>IF(VLOOKUP(BK168,Fundamentus!A:U,20,FALSE)&lt;0.5,"Baixa",IF(VLOOKUP(BK168,Fundamentus!A:U,20,FALSE)&lt;1,"Moderada",IF(VLOOKUP(BK168,Fundamentus!A:U,20,FALSE)&lt;2,"Alerta",IF(VLOOKUP(BK168,Fundamentus!A:U,20,FALSE)&gt;2,"Alta","n/a"))))</f>
        <v>Moderada</v>
      </c>
      <c r="FE168" s="10"/>
    </row>
    <row r="169" spans="1:161" s="2" customFormat="1" ht="11.25" hidden="1"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8">
        <v>69.459999999999994</v>
      </c>
      <c r="BC169" s="62">
        <v>69.849999999999994</v>
      </c>
      <c r="BD169" s="62">
        <v>67.13</v>
      </c>
      <c r="BE169" s="62">
        <v>65.489999999999995</v>
      </c>
      <c r="BF169" s="62">
        <v>64.510000000000005</v>
      </c>
      <c r="BG169" s="81">
        <v>66.44</v>
      </c>
      <c r="BH169" s="62">
        <v>72.53</v>
      </c>
      <c r="BI169" s="62">
        <v>74.64</v>
      </c>
      <c r="BJ169" s="62" cm="1">
        <f t="array" aca="1" ref="BJ169" ca="1">_FV(EH169,"Preço")</f>
        <v>77.23</v>
      </c>
      <c r="BK169" s="83" t="s">
        <v>165</v>
      </c>
      <c r="BL169" s="44" cm="1">
        <f t="array" aca="1" ref="BL169" ca="1">_FV(EH169,"Média de volume",TRUE)</f>
        <v>5330640</v>
      </c>
      <c r="BM169" s="44">
        <v>4209800</v>
      </c>
      <c r="BN169" s="44" cm="1">
        <f t="array" aca="1" ref="BN169" ca="1">_FV(EH169,"Volume")</f>
        <v>2571100</v>
      </c>
      <c r="BO169" s="32" cm="1">
        <f t="array" aca="1" ref="BO169" ca="1">_FV(EH169,"Beta")</f>
        <v>0.46989999999999998</v>
      </c>
      <c r="BP169" s="86" cm="1">
        <f t="array" aca="1" ref="BP169" ca="1">_FV(EH169,"Variação (%)",TRUE)</f>
        <v>3.4700000000000002E-2</v>
      </c>
      <c r="BQ169" s="48"/>
      <c r="BR169" s="48"/>
      <c r="BT169" s="20" cm="1">
        <f t="array" aca="1" ref="BT169" ca="1">_FV(EH169,"Baixo")</f>
        <v>74.64</v>
      </c>
      <c r="BU169" s="20" cm="1">
        <f t="array" aca="1" ref="BU169" ca="1">_FV(EH169,"Alto")</f>
        <v>77.58</v>
      </c>
      <c r="BV169" s="32"/>
      <c r="BW169" s="73">
        <f ca="1">SQRT(22.5*(BJ169/VLOOKUP(BK169,Fundamentus!A:U,3,FALSE))*(BJ169/VLOOKUP(BK169,Fundamentus!A:U,4,FALSE)))</f>
        <v>47.34112497129987</v>
      </c>
      <c r="BY169" s="72">
        <f t="shared" ca="1" si="135"/>
        <v>3.4699892818863924E-2</v>
      </c>
      <c r="BZ169" s="8"/>
      <c r="CA169" s="71">
        <f t="shared" si="143"/>
        <v>33.99</v>
      </c>
      <c r="CB169" s="71">
        <f t="shared" si="136"/>
        <v>74.88</v>
      </c>
      <c r="CC169" s="71">
        <f t="shared" si="144"/>
        <v>53.971967213114759</v>
      </c>
      <c r="CD169" s="17"/>
      <c r="CE169" s="43">
        <f t="shared" si="141"/>
        <v>70.29173462971913</v>
      </c>
      <c r="CF169" s="18">
        <f>FORECAST("04/07/2025", BF169:BI169, $BF$5:$BI$5)</f>
        <v>78.649999999997817</v>
      </c>
      <c r="CG169" s="43">
        <f t="shared" si="142"/>
        <v>87.008265370276504</v>
      </c>
      <c r="CI169" s="17"/>
      <c r="CJ169" s="20">
        <f>CA169-2*(CB169-CM169)</f>
        <v>6.57</v>
      </c>
      <c r="CK169" s="20">
        <f>CM169-(CB169-CA169)</f>
        <v>20.28</v>
      </c>
      <c r="CL169" s="20">
        <f>2*CM169-CB169</f>
        <v>47.459999999999994</v>
      </c>
      <c r="CM169" s="48">
        <f>(CB169+CA169+BI169)/3</f>
        <v>61.169999999999995</v>
      </c>
      <c r="CN169" s="20">
        <f>2*CM169-CA169</f>
        <v>88.35</v>
      </c>
      <c r="CO169" s="20">
        <f>CM169+(CB169-CA169)</f>
        <v>102.05999999999999</v>
      </c>
      <c r="CP169" s="20">
        <f>CB169+2*(CM169-CA169)</f>
        <v>129.23999999999998</v>
      </c>
      <c r="CQ169" s="2" cm="1">
        <f t="array" aca="1" ref="CQ169" ca="1">MAX(_xlfn._xlws.FILTER(CJ169:CP169,CJ169:CP169&lt;BJ169))</f>
        <v>61.169999999999995</v>
      </c>
      <c r="CR169" s="2" cm="1">
        <f t="array" aca="1" ref="CR169" ca="1">MIN(_xlfn._xlws.FILTER($CJ169:$CP169,$CJ169:$CP169&gt;BJ169))</f>
        <v>88.35</v>
      </c>
      <c r="CS169" s="19">
        <f t="shared" ca="1" si="145"/>
        <v>0.44433545855811674</v>
      </c>
      <c r="CT169" s="23">
        <f t="shared" ca="1" si="146"/>
        <v>-0.22216772927905837</v>
      </c>
      <c r="CU169" s="23">
        <f t="shared" ca="1" si="147"/>
        <v>-0.14811181951937225</v>
      </c>
      <c r="CV169" s="23">
        <f t="shared" ca="1" si="148"/>
        <v>-8.8867091711623353E-2</v>
      </c>
      <c r="CW169" s="23">
        <f t="shared" ca="1" si="149"/>
        <v>-4.9370606506457415E-2</v>
      </c>
      <c r="CX169" s="23">
        <f t="shared" ca="1" si="150"/>
        <v>-2.6137379915183338E-2</v>
      </c>
      <c r="CY169" s="23">
        <f t="shared" ca="1" si="151"/>
        <v>-1.3464710865397477E-2</v>
      </c>
      <c r="CZ169" s="23">
        <f t="shared" ca="1" si="152"/>
        <v>-6.8359301316633344E-3</v>
      </c>
      <c r="DA169" s="24">
        <f t="shared" ca="1" si="153"/>
        <v>6.8359301316633344E-3</v>
      </c>
      <c r="DB169" s="24">
        <f t="shared" ca="1" si="154"/>
        <v>1.3464710865397477E-2</v>
      </c>
      <c r="DC169" s="24">
        <f t="shared" ca="1" si="155"/>
        <v>2.6137379915183338E-2</v>
      </c>
      <c r="DD169" s="24">
        <f t="shared" ca="1" si="156"/>
        <v>4.9370606506457415E-2</v>
      </c>
      <c r="DE169" s="24">
        <f t="shared" ca="1" si="157"/>
        <v>8.8867091711623353E-2</v>
      </c>
      <c r="DF169" s="24">
        <f t="shared" ca="1" si="158"/>
        <v>0.14811181951937225</v>
      </c>
      <c r="DG169" s="24">
        <f t="shared" ca="1" si="159"/>
        <v>0.22216772927905837</v>
      </c>
      <c r="DI169" s="19" cm="1">
        <f t="array" aca="1" ref="DI169" ca="1">MAX(_xlfn._xlws.FILTER(CT169:DG169,CT169:DG169&lt;BP169))</f>
        <v>2.6137379915183338E-2</v>
      </c>
      <c r="DJ169" s="19" cm="1">
        <f t="array" aca="1" ref="DJ169" ca="1">MIN(_xlfn._xlws.FILTER(CT169:DG169,CT169:DG169&gt;BP169))</f>
        <v>4.9370606506457415E-2</v>
      </c>
      <c r="DK169" s="2" cm="1">
        <f t="array" aca="1" ref="DK169" ca="1">_FV(EH169,"Fechamento anterior",TRUE)</f>
        <v>74.64</v>
      </c>
      <c r="DL169" s="36">
        <f ca="1">(BJ169-DM169)/(DN169-DM169)</f>
        <v>0.36854600759140543</v>
      </c>
      <c r="DM169" s="18">
        <f t="shared" ca="1" si="160"/>
        <v>76.590894036869287</v>
      </c>
      <c r="DN169" s="18">
        <f t="shared" ca="1" si="161"/>
        <v>78.325022069641989</v>
      </c>
      <c r="DO169" s="9"/>
      <c r="DP169" s="9"/>
      <c r="DQ169" s="94">
        <v>1.2617306600879296E-2</v>
      </c>
      <c r="DR169" s="94">
        <v>2.3131728768278705E-2</v>
      </c>
      <c r="DS169" s="94">
        <v>2.1874229888939948E-2</v>
      </c>
      <c r="DT169" s="94">
        <f t="shared" ca="1" si="137"/>
        <v>2.3233226591274077E-2</v>
      </c>
      <c r="DU169" s="87">
        <f ca="1">(BJ169-CF169)/(CF169-CE169)</f>
        <v>-0.16989171043159482</v>
      </c>
      <c r="DV169" s="46"/>
      <c r="DW169" s="43">
        <f>_xlfn.STDEV.P(BF169:BI169)</f>
        <v>4.1791326851393453</v>
      </c>
      <c r="DX169" s="76">
        <f ca="1">BO169-$DT$2</f>
        <v>-0.52720000000000011</v>
      </c>
      <c r="DY169" s="76">
        <f ca="1">BO169-BP169*100</f>
        <v>-3.0001000000000002</v>
      </c>
      <c r="DZ169" s="101"/>
      <c r="EA169" s="100">
        <v>0.45589999999999997</v>
      </c>
      <c r="EB169" s="107">
        <v>4.7083999999999993</v>
      </c>
      <c r="EC169" s="107">
        <v>1.0320999999999998</v>
      </c>
      <c r="ED169" s="98">
        <f t="shared" ca="1" si="138"/>
        <v>2.4729000000000001</v>
      </c>
      <c r="EE169" s="66"/>
      <c r="EF169" s="66"/>
      <c r="EH169" s="2" t="e" vm="171">
        <v>#VALUE!</v>
      </c>
      <c r="EJ169" s="10" cm="1">
        <f t="array" aca="1" ref="EJ169" ca="1">_FV(EH169,"Ações em circulação",TRUE)</f>
        <v>740465000</v>
      </c>
      <c r="EK169" s="21">
        <f>VLOOKUP(BK169,Fundamentus!A:U,5,FALSE)</f>
        <v>1.3160000000000001</v>
      </c>
      <c r="EL169" s="2">
        <f ca="1">(BJ169*EJ169)/EK169</f>
        <v>43454492363.221886</v>
      </c>
      <c r="EM169" s="20">
        <v>2507232495.2279634</v>
      </c>
      <c r="EN169" s="20">
        <f t="shared" ca="1" si="139"/>
        <v>2594233194.0843468</v>
      </c>
      <c r="EP169" s="19">
        <f t="shared" ca="1" si="134"/>
        <v>3.4699892818863987E-2</v>
      </c>
      <c r="EQ169" s="40" t="str">
        <f>IF(VLOOKUP(BK169,Fundamentus!A:U,3,FALSE)&lt;15,"Bom",IF(VLOOKUP(BK169,Fundamentus!A:U,3,FALSE)&gt;15,"Ruim","n/a"))</f>
        <v>Ruim</v>
      </c>
      <c r="ER169" s="36" t="str">
        <f>IF(VLOOKUP(BK169,Fundamentus!A:U,4,FALSE)&lt;1,"Baixo",IF(VLOOKUP(BK169,Fundamentus!A:U,4,FALSE)&lt;1.5,"Moderado",IF(VLOOKUP(BK169,Fundamentus!A:U,4,FALSE)&gt;1.5,"Alto","n/a")))</f>
        <v>Alto</v>
      </c>
      <c r="ES169" s="20" t="str">
        <f>IF(VLOOKUP(BK169,Fundamentus!A:U,8,FALSE)&lt;0,"Risco elevado",IF(VLOOKUP(BK169,Fundamentus!A:U,8,FALSE)&lt;1,"Saudável",IF(VLOOKUP(BK169,Fundamentus!A:U,8,FALSE)&lt;3,"Estável",IF(VLOOKUP(BK169,Fundamentus!A:U,8,FALSE)&gt;3,"Alerta","n/a"))))</f>
        <v>Alerta</v>
      </c>
      <c r="ET169" s="36" t="str">
        <f t="shared" si="140"/>
        <v>Bom</v>
      </c>
      <c r="EU169" s="20" t="str">
        <f>IF(VLOOKUP(BK169,Fundamentus!A:U,12,FALSE)&lt;2,"Subvalorizada",IF(VLOOKUP(BK169,Fundamentus!A:U,12,FALSE)&lt;6,"Muita barata",IF(VLOOKUP(BK169,Fundamentus!A:U,12,FALSE)&lt;6,"Barata",IF(VLOOKUP(BK169,Fundamentus!A:U,12,FALSE)&lt;8,"Atrativa",IF(VLOOKUP(BK169,Fundamentus!A:U,12,FALSE)&gt;8,"Supervalorizada","n/a")))))</f>
        <v>Supervalorizada</v>
      </c>
      <c r="EW169" s="20" t="str">
        <f>IF(VLOOKUP(BK169,Fundamentus!A:U,17,FALSE)&lt;0.1,"Fraco retorno",IF(VLOOKUP(BK169,Fundamentus!A:U,17,FALSE)&gt;0.1,"Bom retorno","n/a"))</f>
        <v>Bom retorno</v>
      </c>
      <c r="EX169" s="20" t="str">
        <f>IF(VLOOKUP(BK169,Fundamentus!A:U,16,FALSE)&lt;0.1,"Ineficiente",IF(VLOOKUP(BK169,Fundamentus!A:U,16,FALSE)&gt;0.1,"Eficiente","n/a"))</f>
        <v>Ineficiente</v>
      </c>
      <c r="EY169" s="41" t="str">
        <f>IF(VLOOKUP(BK169,Fundamentus!A:U,16,FALSE)&lt;0.1,"Oper. Ineficiente",IF(VLOOKUP(BK169,Fundamentus!A:U,16,FALSE)&gt;0.1,"Oper.Eficiente","n/a"))</f>
        <v>Oper. Ineficiente</v>
      </c>
      <c r="EZ169" s="42">
        <f>VLOOKUP(BK169,Fundamentus!A:U,14,FALSE)</f>
        <v>5.9700000000000003E-2</v>
      </c>
      <c r="FA169" s="20" t="str">
        <f>IF(VLOOKUP(BK169,Fundamentus!A:U,21,FALSE)&lt;0,"Negativo",IF(VLOOKUP(BK169,Fundamentus!A:U,21,FALSE)&lt;0.05,"Fraco",IF(VLOOKUP(BK169,Fundamentus!A:U,21,FALSE)&lt;0.1,"Bom",IF(VLOOKUP(BK169,Fundamentus!A:U,21,FALSE)&gt;0.1,"Muito bom","n/a"))))</f>
        <v>Muito bom</v>
      </c>
      <c r="FC169" s="37" t="str">
        <f>IF(VLOOKUP(BK169,Fundamentus!A:U,15,FALSE)&gt;1,"Bom",IF(VLOOKUP(BK169,Fundamentus!A:U,15,FALSE)&lt;1,"Ruim","n/a"))</f>
        <v>Bom</v>
      </c>
      <c r="FD169" s="20" t="str">
        <f>IF(VLOOKUP(BK169,Fundamentus!A:U,20,FALSE)&lt;0.5,"Baixa",IF(VLOOKUP(BK169,Fundamentus!A:U,20,FALSE)&lt;1,"Moderada",IF(VLOOKUP(BK169,Fundamentus!A:U,20,FALSE)&lt;2,"Alerta",IF(VLOOKUP(BK169,Fundamentus!A:U,20,FALSE)&gt;2,"Alta","n/a"))))</f>
        <v>Moderada</v>
      </c>
      <c r="FE169" s="10"/>
    </row>
    <row r="170" spans="1:161" s="2" customFormat="1" ht="11.25" hidden="1"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8">
        <v>8.5399999999999991</v>
      </c>
      <c r="BC170" s="62">
        <v>8.41</v>
      </c>
      <c r="BD170" s="62">
        <v>8.69</v>
      </c>
      <c r="BE170" s="62">
        <v>8.89</v>
      </c>
      <c r="BF170" s="62">
        <v>8.64</v>
      </c>
      <c r="BG170" s="81">
        <v>8.52</v>
      </c>
      <c r="BH170" s="62">
        <v>8.69</v>
      </c>
      <c r="BI170" s="62">
        <v>8.86</v>
      </c>
      <c r="BJ170" s="62" cm="1">
        <f t="array" aca="1" ref="BJ170" ca="1">_FV(EH170,"Preço")</f>
        <v>8.9700000000000006</v>
      </c>
      <c r="BK170" s="83" t="s">
        <v>166</v>
      </c>
      <c r="BL170" s="44" cm="1">
        <f t="array" aca="1" ref="BL170" ca="1">_FV(EH170,"Média de volume",TRUE)</f>
        <v>3400</v>
      </c>
      <c r="BM170" s="44">
        <v>3200</v>
      </c>
      <c r="BN170" s="44" cm="1">
        <f t="array" aca="1" ref="BN170" ca="1">_FV(EH170,"Volume")</f>
        <v>2400</v>
      </c>
      <c r="BO170" s="32" cm="1">
        <f t="array" aca="1" ref="BO170" ca="1">_FV(EH170,"Beta")</f>
        <v>0.96140000000000003</v>
      </c>
      <c r="BP170" s="86" cm="1">
        <f t="array" aca="1" ref="BP170" ca="1">_FV(EH170,"Variação (%)",TRUE)</f>
        <v>1.2415000000000001E-2</v>
      </c>
      <c r="BQ170" s="48"/>
      <c r="BR170" s="48"/>
      <c r="BT170" s="20" cm="1">
        <f t="array" aca="1" ref="BT170" ca="1">_FV(EH170,"Baixo")</f>
        <v>8.77</v>
      </c>
      <c r="BU170" s="20" cm="1">
        <f t="array" aca="1" ref="BU170" ca="1">_FV(EH170,"Alto")</f>
        <v>9</v>
      </c>
      <c r="BV170" s="32"/>
      <c r="BW170" s="73">
        <f ca="1">SQRT(22.5*(BJ170/VLOOKUP(BK170,Fundamentus!A:U,3,FALSE))*(BJ170/VLOOKUP(BK170,Fundamentus!A:U,4,FALSE)))</f>
        <v>17.750721419205913</v>
      </c>
      <c r="BY170" s="72">
        <f t="shared" ca="1" si="135"/>
        <v>1.2415349887133321E-2</v>
      </c>
      <c r="BZ170" s="8"/>
      <c r="CA170" s="71">
        <f t="shared" si="143"/>
        <v>6.34</v>
      </c>
      <c r="CB170" s="71">
        <f t="shared" si="136"/>
        <v>8.89</v>
      </c>
      <c r="CC170" s="71">
        <f t="shared" si="144"/>
        <v>7.7111475409836086</v>
      </c>
      <c r="CD170" s="17"/>
      <c r="CE170" s="43">
        <f t="shared" si="141"/>
        <v>8.6407153299938688</v>
      </c>
      <c r="CF170" s="18">
        <f>FORECAST("04/07/2025", BF170:BI170, $BF$5:$BI$5)</f>
        <v>8.8849999999999909</v>
      </c>
      <c r="CG170" s="43">
        <f t="shared" si="142"/>
        <v>9.129284670006113</v>
      </c>
      <c r="CI170" s="17"/>
      <c r="CJ170" s="20">
        <f>CA170-2*(CB170-CM170)</f>
        <v>4.6199999999999974</v>
      </c>
      <c r="CK170" s="20">
        <f>CM170-(CB170-CA170)</f>
        <v>5.4799999999999986</v>
      </c>
      <c r="CL170" s="20">
        <f>2*CM170-CB170</f>
        <v>7.1699999999999982</v>
      </c>
      <c r="CM170" s="48">
        <f>(CB170+CA170+BI170)/3</f>
        <v>8.0299999999999994</v>
      </c>
      <c r="CN170" s="20">
        <f>2*CM170-CA170</f>
        <v>9.7199999999999989</v>
      </c>
      <c r="CO170" s="20">
        <f>CM170+(CB170-CA170)</f>
        <v>10.58</v>
      </c>
      <c r="CP170" s="20">
        <f>CB170+2*(CM170-CA170)</f>
        <v>12.27</v>
      </c>
      <c r="CQ170" s="2" cm="1">
        <f t="array" aca="1" ref="CQ170" ca="1">MAX(_xlfn._xlws.FILTER(CJ170:CP170,CJ170:CP170&lt;BJ170))</f>
        <v>8.0299999999999994</v>
      </c>
      <c r="CR170" s="2" cm="1">
        <f t="array" aca="1" ref="CR170" ca="1">MIN(_xlfn._xlws.FILTER($CJ170:$CP170,$CJ170:$CP170&gt;BJ170))</f>
        <v>9.7199999999999989</v>
      </c>
      <c r="CS170" s="19">
        <f t="shared" ca="1" si="145"/>
        <v>0.21046077210460767</v>
      </c>
      <c r="CT170" s="23">
        <f t="shared" ca="1" si="146"/>
        <v>-0.10523038605230384</v>
      </c>
      <c r="CU170" s="23">
        <f t="shared" ca="1" si="147"/>
        <v>-7.0153590701535887E-2</v>
      </c>
      <c r="CV170" s="23">
        <f t="shared" ca="1" si="148"/>
        <v>-4.2092154420921533E-2</v>
      </c>
      <c r="CW170" s="23">
        <f t="shared" ca="1" si="149"/>
        <v>-2.3384530233845298E-2</v>
      </c>
      <c r="CX170" s="23">
        <f t="shared" ca="1" si="150"/>
        <v>-1.2380045417918099E-2</v>
      </c>
      <c r="CY170" s="23">
        <f t="shared" ca="1" si="151"/>
        <v>-6.377599154685081E-3</v>
      </c>
      <c r="CZ170" s="23">
        <f t="shared" ca="1" si="152"/>
        <v>-3.2378580323785796E-3</v>
      </c>
      <c r="DA170" s="24">
        <f t="shared" ca="1" si="153"/>
        <v>3.2378580323785796E-3</v>
      </c>
      <c r="DB170" s="24">
        <f t="shared" ca="1" si="154"/>
        <v>6.377599154685081E-3</v>
      </c>
      <c r="DC170" s="24">
        <f t="shared" ca="1" si="155"/>
        <v>1.2380045417918099E-2</v>
      </c>
      <c r="DD170" s="24">
        <f t="shared" ca="1" si="156"/>
        <v>2.3384530233845298E-2</v>
      </c>
      <c r="DE170" s="24">
        <f t="shared" ca="1" si="157"/>
        <v>4.2092154420921533E-2</v>
      </c>
      <c r="DF170" s="24">
        <f t="shared" ca="1" si="158"/>
        <v>7.0153590701535887E-2</v>
      </c>
      <c r="DG170" s="24">
        <f t="shared" ca="1" si="159"/>
        <v>0.10523038605230384</v>
      </c>
      <c r="DI170" s="19" cm="1">
        <f t="array" aca="1" ref="DI170" ca="1">MAX(_xlfn._xlws.FILTER(CT170:DG170,CT170:DG170&lt;BP170))</f>
        <v>1.2380045417918099E-2</v>
      </c>
      <c r="DJ170" s="19" cm="1">
        <f t="array" aca="1" ref="DJ170" ca="1">MIN(_xlfn._xlws.FILTER(CT170:DG170,CT170:DG170&gt;BP170))</f>
        <v>2.3384530233845298E-2</v>
      </c>
      <c r="DK170" s="2" cm="1">
        <f t="array" aca="1" ref="DK170" ca="1">_FV(EH170,"Fechamento anterior",TRUE)</f>
        <v>8.86</v>
      </c>
      <c r="DL170" s="36">
        <f ca="1">(BJ170-DM170)/(DN170-DM170)</f>
        <v>3.2081891888332882E-3</v>
      </c>
      <c r="DM170" s="18">
        <f t="shared" ca="1" si="160"/>
        <v>8.9696872024027545</v>
      </c>
      <c r="DN170" s="18">
        <f t="shared" ca="1" si="161"/>
        <v>9.0671869378718686</v>
      </c>
      <c r="DO170" s="9"/>
      <c r="DP170" s="9"/>
      <c r="DQ170" s="94">
        <v>9.5680884037463772E-3</v>
      </c>
      <c r="DR170" s="94">
        <v>1.6265750286368844E-2</v>
      </c>
      <c r="DS170" s="94">
        <v>6.1279352226720676E-3</v>
      </c>
      <c r="DT170" s="94">
        <f t="shared" ca="1" si="137"/>
        <v>1.1004484815927199E-2</v>
      </c>
      <c r="DU170" s="87">
        <f ca="1">(BJ170-CF170)/(CF170-CE170)</f>
        <v>0.34795470382107696</v>
      </c>
      <c r="DV170" s="46"/>
      <c r="DW170" s="43">
        <f>_xlfn.STDEV.P(BF170:BI170)</f>
        <v>0.12214233500306096</v>
      </c>
      <c r="DX170" s="76">
        <f ca="1">BO170-$DT$2</f>
        <v>-3.5700000000000065E-2</v>
      </c>
      <c r="DY170" s="76">
        <f ca="1">BO170-BP170*100</f>
        <v>-0.28010000000000002</v>
      </c>
      <c r="DZ170" s="101"/>
      <c r="EA170" s="100">
        <v>0.1843999999999999</v>
      </c>
      <c r="EB170" s="107">
        <v>0.66979999999999995</v>
      </c>
      <c r="EC170" s="107">
        <v>1.9031000000000002</v>
      </c>
      <c r="ED170" s="98">
        <f t="shared" ca="1" si="138"/>
        <v>0.24439999999999995</v>
      </c>
      <c r="EE170" s="66"/>
      <c r="EF170" s="66"/>
      <c r="EH170" s="2" t="e" vm="172">
        <v>#VALUE!</v>
      </c>
      <c r="EJ170" s="10" cm="1">
        <f t="array" aca="1" ref="EJ170" ca="1">_FV(EH170,"Ações em circulação",TRUE)</f>
        <v>2289425000</v>
      </c>
      <c r="EK170" s="21">
        <f>VLOOKUP(BK170,Fundamentus!A:U,5,FALSE)</f>
        <v>0.57099999999999995</v>
      </c>
      <c r="EL170" s="2">
        <f ca="1">(BJ170*EJ170)/EK170</f>
        <v>35965222854.640984</v>
      </c>
      <c r="EM170" s="20">
        <v>4710505970.7530651</v>
      </c>
      <c r="EN170" s="20">
        <f t="shared" ca="1" si="139"/>
        <v>4768988550.5253944</v>
      </c>
      <c r="EP170" s="19">
        <f t="shared" ca="1" si="134"/>
        <v>1.2415349887133109E-2</v>
      </c>
      <c r="EQ170" s="40" t="str">
        <f>IF(VLOOKUP(BK170,Fundamentus!A:U,3,FALSE)&lt;15,"Bom",IF(VLOOKUP(BK170,Fundamentus!A:U,3,FALSE)&gt;15,"Ruim","n/a"))</f>
        <v>Bom</v>
      </c>
      <c r="ER170" s="36" t="str">
        <f>IF(VLOOKUP(BK170,Fundamentus!A:U,4,FALSE)&lt;1,"Baixo",IF(VLOOKUP(BK170,Fundamentus!A:U,4,FALSE)&lt;1.5,"Moderado",IF(VLOOKUP(BK170,Fundamentus!A:U,4,FALSE)&gt;1.5,"Alto","n/a")))</f>
        <v>Moderado</v>
      </c>
      <c r="ES170" s="20" t="str">
        <f>IF(VLOOKUP(BK170,Fundamentus!A:U,8,FALSE)&lt;0,"Risco elevado",IF(VLOOKUP(BK170,Fundamentus!A:U,8,FALSE)&lt;1,"Saudável",IF(VLOOKUP(BK170,Fundamentus!A:U,8,FALSE)&lt;3,"Estável",IF(VLOOKUP(BK170,Fundamentus!A:U,8,FALSE)&gt;3,"Alerta","n/a"))))</f>
        <v>Alerta</v>
      </c>
      <c r="ET170" s="36" t="str">
        <f t="shared" si="140"/>
        <v>Ruim</v>
      </c>
      <c r="EU170" s="20" t="str">
        <f>IF(VLOOKUP(BK170,Fundamentus!A:U,12,FALSE)&lt;2,"Subvalorizada",IF(VLOOKUP(BK170,Fundamentus!A:U,12,FALSE)&lt;6,"Muita barata",IF(VLOOKUP(BK170,Fundamentus!A:U,12,FALSE)&lt;6,"Barata",IF(VLOOKUP(BK170,Fundamentus!A:U,12,FALSE)&lt;8,"Atrativa",IF(VLOOKUP(BK170,Fundamentus!A:U,12,FALSE)&gt;8,"Supervalorizada","n/a")))))</f>
        <v>Muita barata</v>
      </c>
      <c r="EW170" s="20" t="str">
        <f>IF(VLOOKUP(BK170,Fundamentus!A:U,17,FALSE)&lt;0.1,"Fraco retorno",IF(VLOOKUP(BK170,Fundamentus!A:U,17,FALSE)&gt;0.1,"Bom retorno","n/a"))</f>
        <v>Bom retorno</v>
      </c>
      <c r="EX170" s="20" t="str">
        <f>IF(VLOOKUP(BK170,Fundamentus!A:U,16,FALSE)&lt;0.1,"Ineficiente",IF(VLOOKUP(BK170,Fundamentus!A:U,16,FALSE)&gt;0.1,"Eficiente","n/a"))</f>
        <v>Ineficiente</v>
      </c>
      <c r="EY170" s="41" t="str">
        <f>IF(VLOOKUP(BK170,Fundamentus!A:U,16,FALSE)&lt;0.1,"Oper. Ineficiente",IF(VLOOKUP(BK170,Fundamentus!A:U,16,FALSE)&gt;0.1,"Oper.Eficiente","n/a"))</f>
        <v>Oper. Ineficiente</v>
      </c>
      <c r="EZ170" s="42">
        <f>VLOOKUP(BK170,Fundamentus!A:U,14,FALSE)</f>
        <v>0.1326</v>
      </c>
      <c r="FA170" s="20" t="str">
        <f>IF(VLOOKUP(BK170,Fundamentus!A:U,21,FALSE)&lt;0,"Negativo",IF(VLOOKUP(BK170,Fundamentus!A:U,21,FALSE)&lt;0.05,"Fraco",IF(VLOOKUP(BK170,Fundamentus!A:U,21,FALSE)&lt;0.1,"Bom",IF(VLOOKUP(BK170,Fundamentus!A:U,21,FALSE)&gt;0.1,"Muito bom","n/a"))))</f>
        <v>Muito bom</v>
      </c>
      <c r="FC170" s="37" t="str">
        <f>IF(VLOOKUP(BK170,Fundamentus!A:U,15,FALSE)&gt;1,"Bom",IF(VLOOKUP(BK170,Fundamentus!A:U,15,FALSE)&lt;1,"Ruim","n/a"))</f>
        <v>Bom</v>
      </c>
      <c r="FD170" s="20" t="str">
        <f>IF(VLOOKUP(BK170,Fundamentus!A:U,20,FALSE)&lt;0.5,"Baixa",IF(VLOOKUP(BK170,Fundamentus!A:U,20,FALSE)&lt;1,"Moderada",IF(VLOOKUP(BK170,Fundamentus!A:U,20,FALSE)&lt;2,"Alerta",IF(VLOOKUP(BK170,Fundamentus!A:U,20,FALSE)&gt;2,"Alta","n/a"))))</f>
        <v>Alta</v>
      </c>
      <c r="FE170" s="10"/>
    </row>
    <row r="171" spans="1:161" s="2" customFormat="1" ht="11.25" hidden="1"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8">
        <v>3.52</v>
      </c>
      <c r="BC171" s="62">
        <v>4.29</v>
      </c>
      <c r="BD171" s="62">
        <v>3.95</v>
      </c>
      <c r="BE171" s="62">
        <v>4.25</v>
      </c>
      <c r="BF171" s="62">
        <v>3.95</v>
      </c>
      <c r="BG171" s="81">
        <v>4.03</v>
      </c>
      <c r="BH171" s="62">
        <v>4.0599999999999996</v>
      </c>
      <c r="BI171" s="62">
        <v>4.1500000000000004</v>
      </c>
      <c r="BJ171" s="62" cm="1">
        <f t="array" aca="1" ref="BJ171" ca="1">_FV(EH171,"Preço")</f>
        <v>4.1900000000000004</v>
      </c>
      <c r="BK171" s="83" t="s">
        <v>167</v>
      </c>
      <c r="BL171" s="44" cm="1">
        <f t="array" aca="1" ref="BL171" ca="1">_FV(EH171,"Média de volume",TRUE)</f>
        <v>4662390</v>
      </c>
      <c r="BM171" s="44">
        <v>2835900</v>
      </c>
      <c r="BN171" s="44" cm="1">
        <f t="array" aca="1" ref="BN171" ca="1">_FV(EH171,"Volume")</f>
        <v>1658000</v>
      </c>
      <c r="BO171" s="32" cm="1">
        <f t="array" aca="1" ref="BO171" ca="1">_FV(EH171,"Beta")</f>
        <v>2.8243</v>
      </c>
      <c r="BP171" s="86" cm="1">
        <f t="array" aca="1" ref="BP171" ca="1">_FV(EH171,"Variação (%)",TRUE)</f>
        <v>9.639E-3</v>
      </c>
      <c r="BQ171" s="48"/>
      <c r="BR171" s="48"/>
      <c r="BT171" s="20" cm="1">
        <f t="array" aca="1" ref="BT171" ca="1">_FV(EH171,"Baixo")</f>
        <v>4.0999999999999996</v>
      </c>
      <c r="BU171" s="20" cm="1">
        <f t="array" aca="1" ref="BU171" ca="1">_FV(EH171,"Alto")</f>
        <v>4.2699999999999996</v>
      </c>
      <c r="BV171" s="32"/>
      <c r="BW171" s="73">
        <f ca="1">SQRT(22.5*(BJ171/VLOOKUP(BK171,Fundamentus!A:U,3,FALSE))*(BJ171/VLOOKUP(BK171,Fundamentus!A:U,4,FALSE)))</f>
        <v>6.3969341395646593</v>
      </c>
      <c r="BY171" s="72">
        <f t="shared" ca="1" si="135"/>
        <v>9.6385542168674777E-3</v>
      </c>
      <c r="BZ171" s="8"/>
      <c r="CA171" s="71">
        <f t="shared" si="143"/>
        <v>1.53</v>
      </c>
      <c r="CB171" s="71">
        <f t="shared" si="136"/>
        <v>4.29</v>
      </c>
      <c r="CC171" s="71">
        <f t="shared" si="144"/>
        <v>2.8712295081967207</v>
      </c>
      <c r="CD171" s="17"/>
      <c r="CE171" s="43">
        <f t="shared" si="141"/>
        <v>4.061909119787499</v>
      </c>
      <c r="CF171" s="18">
        <f>FORECAST("04/07/2025", BF171:BI171, $BF$5:$BI$5)</f>
        <v>4.2050000000000409</v>
      </c>
      <c r="CG171" s="43">
        <f t="shared" si="142"/>
        <v>4.3480908802125828</v>
      </c>
      <c r="CI171" s="17"/>
      <c r="CJ171" s="20">
        <f>CA171-2*(CB171-CM171)</f>
        <v>-0.40333333333333266</v>
      </c>
      <c r="CK171" s="20">
        <f>CM171-(CB171-CA171)</f>
        <v>0.56333333333333391</v>
      </c>
      <c r="CL171" s="20">
        <f>2*CM171-CB171</f>
        <v>2.3566666666666674</v>
      </c>
      <c r="CM171" s="48">
        <f>(CB171+CA171+BI171)/3</f>
        <v>3.3233333333333337</v>
      </c>
      <c r="CN171" s="20">
        <f>2*CM171-CA171</f>
        <v>5.1166666666666671</v>
      </c>
      <c r="CO171" s="20">
        <f>CM171+(CB171-CA171)</f>
        <v>6.0833333333333339</v>
      </c>
      <c r="CP171" s="20">
        <f>CB171+2*(CM171-CA171)</f>
        <v>7.8766666666666669</v>
      </c>
      <c r="CQ171" s="2" cm="1">
        <f t="array" aca="1" ref="CQ171" ca="1">MAX(_xlfn._xlws.FILTER(CJ171:CP171,CJ171:CP171&lt;BJ171))</f>
        <v>3.3233333333333337</v>
      </c>
      <c r="CR171" s="2" cm="1">
        <f t="array" aca="1" ref="CR171" ca="1">MIN(_xlfn._xlws.FILTER($CJ171:$CP171,$CJ171:$CP171&gt;BJ171))</f>
        <v>5.1166666666666671</v>
      </c>
      <c r="CS171" s="19">
        <f t="shared" ca="1" si="145"/>
        <v>0.53961885656970909</v>
      </c>
      <c r="CT171" s="23">
        <f t="shared" ca="1" si="146"/>
        <v>-0.26980942828485455</v>
      </c>
      <c r="CU171" s="23">
        <f t="shared" ca="1" si="147"/>
        <v>-0.17987295218990304</v>
      </c>
      <c r="CV171" s="23">
        <f t="shared" ca="1" si="148"/>
        <v>-0.10792377131394182</v>
      </c>
      <c r="CW171" s="23">
        <f t="shared" ca="1" si="149"/>
        <v>-5.9957650729967678E-2</v>
      </c>
      <c r="CX171" s="23">
        <f t="shared" ca="1" si="150"/>
        <v>-3.1742285680571122E-2</v>
      </c>
      <c r="CY171" s="23">
        <f t="shared" ca="1" si="151"/>
        <v>-1.6352086562718457E-2</v>
      </c>
      <c r="CZ171" s="23">
        <f t="shared" ca="1" si="152"/>
        <v>-8.3018285626109099E-3</v>
      </c>
      <c r="DA171" s="24">
        <f t="shared" ca="1" si="153"/>
        <v>8.3018285626109099E-3</v>
      </c>
      <c r="DB171" s="24">
        <f t="shared" ca="1" si="154"/>
        <v>1.6352086562718457E-2</v>
      </c>
      <c r="DC171" s="24">
        <f t="shared" ca="1" si="155"/>
        <v>3.1742285680571122E-2</v>
      </c>
      <c r="DD171" s="24">
        <f t="shared" ca="1" si="156"/>
        <v>5.9957650729967678E-2</v>
      </c>
      <c r="DE171" s="24">
        <f t="shared" ca="1" si="157"/>
        <v>0.10792377131394182</v>
      </c>
      <c r="DF171" s="24">
        <f t="shared" ca="1" si="158"/>
        <v>0.17987295218990304</v>
      </c>
      <c r="DG171" s="24">
        <f t="shared" ca="1" si="159"/>
        <v>0.26980942828485455</v>
      </c>
      <c r="DI171" s="19" cm="1">
        <f t="array" aca="1" ref="DI171" ca="1">MAX(_xlfn._xlws.FILTER(CT171:DG171,CT171:DG171&lt;BP171))</f>
        <v>8.3018285626109099E-3</v>
      </c>
      <c r="DJ171" s="19" cm="1">
        <f t="array" aca="1" ref="DJ171" ca="1">MIN(_xlfn._xlws.FILTER(CT171:DG171,CT171:DG171&gt;BP171))</f>
        <v>1.6352086562718457E-2</v>
      </c>
      <c r="DK171" s="2" cm="1">
        <f t="array" aca="1" ref="DK171" ca="1">_FV(EH171,"Fechamento anterior",TRUE)</f>
        <v>4.1500000000000004</v>
      </c>
      <c r="DL171" s="36">
        <f ca="1">(BJ171-DM171)/(DN171-DM171)</f>
        <v>0.16604755453039688</v>
      </c>
      <c r="DM171" s="18">
        <f t="shared" ca="1" si="160"/>
        <v>4.1844525885348354</v>
      </c>
      <c r="DN171" s="18">
        <f t="shared" ca="1" si="161"/>
        <v>4.2178611592352819</v>
      </c>
      <c r="DO171" s="9"/>
      <c r="DP171" s="9"/>
      <c r="DQ171" s="94">
        <v>2.7339556751321457E-2</v>
      </c>
      <c r="DR171" s="94">
        <v>1.4912485500720798E-2</v>
      </c>
      <c r="DS171" s="94">
        <v>7.9665850224225846E-3</v>
      </c>
      <c r="DT171" s="94">
        <f t="shared" ca="1" si="137"/>
        <v>8.050258000107547E-3</v>
      </c>
      <c r="DU171" s="87">
        <f ca="1">(BJ171-CF171)/(CF171-CE171)</f>
        <v>-0.10482848367247508</v>
      </c>
      <c r="DV171" s="46"/>
      <c r="DW171" s="43">
        <f>_xlfn.STDEV.P(BF171:BI171)</f>
        <v>7.1545440106270966E-2</v>
      </c>
      <c r="DX171" s="76">
        <f ca="1">BO171-$DT$2</f>
        <v>1.8271999999999999</v>
      </c>
      <c r="DY171" s="76">
        <f ca="1">BO171-BP171*100</f>
        <v>1.8604000000000001</v>
      </c>
      <c r="DZ171" s="101"/>
      <c r="EA171" s="100">
        <v>-0.4038999999999997</v>
      </c>
      <c r="EB171" s="107">
        <v>-3.0034000000000001</v>
      </c>
      <c r="EC171" s="107">
        <v>0.42239999999999966</v>
      </c>
      <c r="ED171" s="98">
        <f t="shared" ca="1" si="138"/>
        <v>-3.3200000000000118E-2</v>
      </c>
      <c r="EE171" s="66"/>
      <c r="EF171" s="66"/>
      <c r="EH171" s="2" t="e" vm="173">
        <v>#VALUE!</v>
      </c>
      <c r="EJ171" s="10" cm="1">
        <f t="array" aca="1" ref="EJ171" ca="1">_FV(EH171,"Ações em circulação",TRUE)</f>
        <v>403868800</v>
      </c>
      <c r="EK171" s="21">
        <f>VLOOKUP(BK171,Fundamentus!A:U,5,FALSE)</f>
        <v>0.42299999999999999</v>
      </c>
      <c r="EL171" s="2">
        <f ca="1">(BJ171*EJ171)/EK171</f>
        <v>4000497096.9267144</v>
      </c>
      <c r="EM171" s="20">
        <v>254380057.64539006</v>
      </c>
      <c r="EN171" s="20">
        <f t="shared" ca="1" si="139"/>
        <v>256831913.62269503</v>
      </c>
      <c r="EP171" s="19">
        <f t="shared" ca="1" si="134"/>
        <v>9.6385542168675453E-3</v>
      </c>
      <c r="EQ171" s="40" t="str">
        <f>IF(VLOOKUP(BK171,Fundamentus!A:U,3,FALSE)&lt;15,"Bom",IF(VLOOKUP(BK171,Fundamentus!A:U,3,FALSE)&gt;15,"Ruim","n/a"))</f>
        <v>Bom</v>
      </c>
      <c r="ER171" s="36" t="str">
        <f>IF(VLOOKUP(BK171,Fundamentus!A:U,4,FALSE)&lt;1,"Baixo",IF(VLOOKUP(BK171,Fundamentus!A:U,4,FALSE)&lt;1.5,"Moderado",IF(VLOOKUP(BK171,Fundamentus!A:U,4,FALSE)&gt;1.5,"Alto","n/a")))</f>
        <v>Baixo</v>
      </c>
      <c r="ES171" s="20" t="str">
        <f>IF(VLOOKUP(BK171,Fundamentus!A:U,8,FALSE)&lt;0,"Risco elevado",IF(VLOOKUP(BK171,Fundamentus!A:U,8,FALSE)&lt;1,"Saudável",IF(VLOOKUP(BK171,Fundamentus!A:U,8,FALSE)&lt;3,"Estável",IF(VLOOKUP(BK171,Fundamentus!A:U,8,FALSE)&gt;3,"Alerta","n/a"))))</f>
        <v>Estável</v>
      </c>
      <c r="ET171" s="36" t="str">
        <f t="shared" si="140"/>
        <v>Ruim</v>
      </c>
      <c r="EU171" s="20" t="str">
        <f>IF(VLOOKUP(BK171,Fundamentus!A:U,12,FALSE)&lt;2,"Subvalorizada",IF(VLOOKUP(BK171,Fundamentus!A:U,12,FALSE)&lt;6,"Muita barata",IF(VLOOKUP(BK171,Fundamentus!A:U,12,FALSE)&lt;6,"Barata",IF(VLOOKUP(BK171,Fundamentus!A:U,12,FALSE)&lt;8,"Atrativa",IF(VLOOKUP(BK171,Fundamentus!A:U,12,FALSE)&gt;8,"Supervalorizada","n/a")))))</f>
        <v>Muita barata</v>
      </c>
      <c r="EW171" s="20" t="str">
        <f>IF(VLOOKUP(BK171,Fundamentus!A:U,17,FALSE)&lt;0.1,"Fraco retorno",IF(VLOOKUP(BK171,Fundamentus!A:U,17,FALSE)&gt;0.1,"Bom retorno","n/a"))</f>
        <v>Fraco retorno</v>
      </c>
      <c r="EX171" s="20" t="str">
        <f>IF(VLOOKUP(BK171,Fundamentus!A:U,16,FALSE)&lt;0.1,"Ineficiente",IF(VLOOKUP(BK171,Fundamentus!A:U,16,FALSE)&gt;0.1,"Eficiente","n/a"))</f>
        <v>Eficiente</v>
      </c>
      <c r="EY171" s="41" t="str">
        <f>IF(VLOOKUP(BK171,Fundamentus!A:U,16,FALSE)&lt;0.1,"Oper. Ineficiente",IF(VLOOKUP(BK171,Fundamentus!A:U,16,FALSE)&gt;0.1,"Oper.Eficiente","n/a"))</f>
        <v>Oper.Eficiente</v>
      </c>
      <c r="EZ171" s="42">
        <f>VLOOKUP(BK171,Fundamentus!A:U,14,FALSE)</f>
        <v>6.4199999999999993E-2</v>
      </c>
      <c r="FA171" s="20" t="str">
        <f>IF(VLOOKUP(BK171,Fundamentus!A:U,21,FALSE)&lt;0,"Negativo",IF(VLOOKUP(BK171,Fundamentus!A:U,21,FALSE)&lt;0.05,"Fraco",IF(VLOOKUP(BK171,Fundamentus!A:U,21,FALSE)&lt;0.1,"Bom",IF(VLOOKUP(BK171,Fundamentus!A:U,21,FALSE)&gt;0.1,"Muito bom","n/a"))))</f>
        <v>Muito bom</v>
      </c>
      <c r="FC171" s="37" t="str">
        <f>IF(VLOOKUP(BK171,Fundamentus!A:U,15,FALSE)&gt;1,"Bom",IF(VLOOKUP(BK171,Fundamentus!A:U,15,FALSE)&lt;1,"Ruim","n/a"))</f>
        <v>Bom</v>
      </c>
      <c r="FD171" s="20" t="str">
        <f>IF(VLOOKUP(BK171,Fundamentus!A:U,20,FALSE)&lt;0.5,"Baixa",IF(VLOOKUP(BK171,Fundamentus!A:U,20,FALSE)&lt;1,"Moderada",IF(VLOOKUP(BK171,Fundamentus!A:U,20,FALSE)&lt;2,"Alerta",IF(VLOOKUP(BK171,Fundamentus!A:U,20,FALSE)&gt;2,"Alta","n/a"))))</f>
        <v>Alta</v>
      </c>
      <c r="FE171" s="10"/>
    </row>
    <row r="172" spans="1:161" s="2" customFormat="1" ht="11.25" hidden="1"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8">
        <v>36.659999999999997</v>
      </c>
      <c r="BC172" s="62">
        <v>39</v>
      </c>
      <c r="BD172" s="62">
        <v>38.799999999999997</v>
      </c>
      <c r="BE172" s="62">
        <v>38.950000000000003</v>
      </c>
      <c r="BF172" s="62">
        <v>42.51</v>
      </c>
      <c r="BG172" s="81">
        <v>43.98</v>
      </c>
      <c r="BH172" s="62">
        <v>43.56</v>
      </c>
      <c r="BI172" s="62">
        <v>41.87</v>
      </c>
      <c r="BJ172" s="62" cm="1">
        <f t="array" aca="1" ref="BJ172" ca="1">_FV(EH172,"Preço")</f>
        <v>42.14</v>
      </c>
      <c r="BK172" s="83" t="s">
        <v>168</v>
      </c>
      <c r="BL172" s="44" cm="1">
        <f t="array" aca="1" ref="BL172" ca="1">_FV(EH172,"Média de volume",TRUE)</f>
        <v>11981950</v>
      </c>
      <c r="BM172" s="44">
        <v>8026600</v>
      </c>
      <c r="BN172" s="44" cm="1">
        <f t="array" aca="1" ref="BN172" ca="1">_FV(EH172,"Volume")</f>
        <v>2326700</v>
      </c>
      <c r="BO172" s="32" cm="1">
        <f t="array" aca="1" ref="BO172" ca="1">_FV(EH172,"Beta")</f>
        <v>1.2801</v>
      </c>
      <c r="BP172" s="86" cm="1">
        <f t="array" aca="1" ref="BP172" ca="1">_FV(EH172,"Variação (%)",TRUE)</f>
        <v>6.4489999999999999E-3</v>
      </c>
      <c r="BQ172" s="48"/>
      <c r="BR172" s="48"/>
      <c r="BT172" s="20" cm="1">
        <f t="array" aca="1" ref="BT172" ca="1">_FV(EH172,"Baixo")</f>
        <v>41.51</v>
      </c>
      <c r="BU172" s="20" cm="1">
        <f t="array" aca="1" ref="BU172" ca="1">_FV(EH172,"Alto")</f>
        <v>42.35</v>
      </c>
      <c r="BV172" s="32"/>
      <c r="BW172" s="73">
        <f ca="1">SQRT(22.5*(BJ172/VLOOKUP(BK172,Fundamentus!A:U,3,FALSE))*(BJ172/VLOOKUP(BK172,Fundamentus!A:U,4,FALSE)))</f>
        <v>88.077567245112618</v>
      </c>
      <c r="BY172" s="72">
        <f t="shared" ca="1" si="135"/>
        <v>6.4485311679007198E-3</v>
      </c>
      <c r="BZ172" s="8"/>
      <c r="CA172" s="71">
        <f t="shared" si="143"/>
        <v>33.71</v>
      </c>
      <c r="CB172" s="71">
        <f t="shared" si="136"/>
        <v>49.29</v>
      </c>
      <c r="CC172" s="71">
        <f t="shared" si="144"/>
        <v>41.600081967213121</v>
      </c>
      <c r="CD172" s="17"/>
      <c r="CE172" s="43">
        <f t="shared" si="141"/>
        <v>40.724850306110469</v>
      </c>
      <c r="CF172" s="18">
        <f>FORECAST("04/07/2025", BF172:BI172, $BF$5:$BI$5)</f>
        <v>42.395000000000209</v>
      </c>
      <c r="CG172" s="43">
        <f t="shared" si="142"/>
        <v>44.06514969388995</v>
      </c>
      <c r="CI172" s="17"/>
      <c r="CJ172" s="20">
        <f>CA172-2*(CB172-CM172)</f>
        <v>18.376666666666672</v>
      </c>
      <c r="CK172" s="20">
        <f>CM172-(CB172-CA172)</f>
        <v>26.043333333333337</v>
      </c>
      <c r="CL172" s="20">
        <f>2*CM172-CB172</f>
        <v>33.956666666666671</v>
      </c>
      <c r="CM172" s="48">
        <f>(CB172+CA172+BI172)/3</f>
        <v>41.623333333333335</v>
      </c>
      <c r="CN172" s="20">
        <f>2*CM172-CA172</f>
        <v>49.536666666666669</v>
      </c>
      <c r="CO172" s="20">
        <f>CM172+(CB172-CA172)</f>
        <v>57.203333333333333</v>
      </c>
      <c r="CP172" s="20">
        <f>CB172+2*(CM172-CA172)</f>
        <v>65.116666666666674</v>
      </c>
      <c r="CQ172" s="2" cm="1">
        <f t="array" aca="1" ref="CQ172" ca="1">MAX(_xlfn._xlws.FILTER(CJ172:CP172,CJ172:CP172&lt;BJ172))</f>
        <v>41.623333333333335</v>
      </c>
      <c r="CR172" s="2" cm="1">
        <f t="array" aca="1" ref="CR172" ca="1">MIN(_xlfn._xlws.FILTER($CJ172:$CP172,$CJ172:$CP172&gt;BJ172))</f>
        <v>49.536666666666669</v>
      </c>
      <c r="CS172" s="19">
        <f t="shared" ca="1" si="145"/>
        <v>0.19011772243132863</v>
      </c>
      <c r="CT172" s="23">
        <f t="shared" ca="1" si="146"/>
        <v>-9.5058861215664314E-2</v>
      </c>
      <c r="CU172" s="23">
        <f t="shared" ca="1" si="147"/>
        <v>-6.3372574143776214E-2</v>
      </c>
      <c r="CV172" s="23">
        <f t="shared" ca="1" si="148"/>
        <v>-3.8023544486265728E-2</v>
      </c>
      <c r="CW172" s="23">
        <f t="shared" ca="1" si="149"/>
        <v>-2.1124191381258737E-2</v>
      </c>
      <c r="CX172" s="23">
        <f t="shared" ca="1" si="150"/>
        <v>-1.1183395437136978E-2</v>
      </c>
      <c r="CY172" s="23">
        <f t="shared" ca="1" si="151"/>
        <v>-5.7611431039796554E-3</v>
      </c>
      <c r="CZ172" s="23">
        <f t="shared" ca="1" si="152"/>
        <v>-2.9248880374050557E-3</v>
      </c>
      <c r="DA172" s="24">
        <f t="shared" ca="1" si="153"/>
        <v>2.9248880374050557E-3</v>
      </c>
      <c r="DB172" s="24">
        <f t="shared" ca="1" si="154"/>
        <v>5.7611431039796554E-3</v>
      </c>
      <c r="DC172" s="24">
        <f t="shared" ca="1" si="155"/>
        <v>1.1183395437136978E-2</v>
      </c>
      <c r="DD172" s="24">
        <f t="shared" ca="1" si="156"/>
        <v>2.1124191381258737E-2</v>
      </c>
      <c r="DE172" s="24">
        <f t="shared" ca="1" si="157"/>
        <v>3.8023544486265728E-2</v>
      </c>
      <c r="DF172" s="24">
        <f t="shared" ca="1" si="158"/>
        <v>6.3372574143776214E-2</v>
      </c>
      <c r="DG172" s="24">
        <f t="shared" ca="1" si="159"/>
        <v>9.5058861215664314E-2</v>
      </c>
      <c r="DI172" s="19" cm="1">
        <f t="array" aca="1" ref="DI172" ca="1">MAX(_xlfn._xlws.FILTER(CT172:DG172,CT172:DG172&lt;BP172))</f>
        <v>5.7611431039796554E-3</v>
      </c>
      <c r="DJ172" s="19" cm="1">
        <f t="array" aca="1" ref="DJ172" ca="1">MIN(_xlfn._xlws.FILTER(CT172:DG172,CT172:DG172&gt;BP172))</f>
        <v>1.1183395437136978E-2</v>
      </c>
      <c r="DK172" s="2" cm="1">
        <f t="array" aca="1" ref="DK172" ca="1">_FV(EH172,"Fechamento anterior",TRUE)</f>
        <v>41.87</v>
      </c>
      <c r="DL172" s="36">
        <f ca="1">(BJ172-DM172)/(DN172-DM172)</f>
        <v>0.1267716848435142</v>
      </c>
      <c r="DM172" s="18">
        <f t="shared" ca="1" si="160"/>
        <v>42.111219061763627</v>
      </c>
      <c r="DN172" s="18">
        <f t="shared" ca="1" si="161"/>
        <v>42.338248766952923</v>
      </c>
      <c r="DO172" s="9"/>
      <c r="DP172" s="9"/>
      <c r="DQ172" s="94">
        <v>1.4428618352294777E-2</v>
      </c>
      <c r="DR172" s="94">
        <v>2.1642927528442171E-2</v>
      </c>
      <c r="DS172" s="94">
        <v>1.0644463592125558E-2</v>
      </c>
      <c r="DT172" s="94">
        <f t="shared" ca="1" si="137"/>
        <v>5.4222523331573227E-3</v>
      </c>
      <c r="DU172" s="87">
        <f ca="1">(BJ172-CF172)/(CF172-CE172)</f>
        <v>-0.15268092490938306</v>
      </c>
      <c r="DV172" s="46"/>
      <c r="DW172" s="43">
        <f>_xlfn.STDEV.P(BF172:BI172)</f>
        <v>0.83507484694487177</v>
      </c>
      <c r="DX172" s="76">
        <f ca="1">BO172-$DT$2</f>
        <v>0.28299999999999992</v>
      </c>
      <c r="DY172" s="76">
        <f ca="1">BO172-BP172*100</f>
        <v>0.63519999999999999</v>
      </c>
      <c r="DZ172" s="101"/>
      <c r="EA172" s="100">
        <v>2.2671999999999999</v>
      </c>
      <c r="EB172" s="107">
        <v>0.17439999999999989</v>
      </c>
      <c r="EC172" s="107">
        <v>0.22869000000000006</v>
      </c>
      <c r="ED172" s="98">
        <f t="shared" ca="1" si="138"/>
        <v>-0.35220000000000007</v>
      </c>
      <c r="EE172" s="66"/>
      <c r="EF172" s="66"/>
      <c r="EH172" s="2" t="e" vm="174">
        <v>#VALUE!</v>
      </c>
      <c r="EJ172" s="10" cm="1">
        <f t="array" aca="1" ref="EJ172" ca="1">_FV(EH172,"Ações em circulação",TRUE)</f>
        <v>896346200</v>
      </c>
      <c r="EK172" s="21">
        <f>VLOOKUP(BK172,Fundamentus!A:U,5,FALSE)</f>
        <v>2.5270000000000001</v>
      </c>
      <c r="EL172" s="2">
        <f ca="1">(BJ172*EJ172)/EK172</f>
        <v>14947379844.875345</v>
      </c>
      <c r="EM172" s="20">
        <v>10783753137.152115</v>
      </c>
      <c r="EN172" s="20">
        <f t="shared" ca="1" si="139"/>
        <v>10853292505.363987</v>
      </c>
      <c r="EP172" s="19">
        <f t="shared" ca="1" si="134"/>
        <v>6.448531167900784E-3</v>
      </c>
      <c r="EQ172" s="40" t="str">
        <f>IF(VLOOKUP(BK172,Fundamentus!A:U,3,FALSE)&lt;15,"Bom",IF(VLOOKUP(BK172,Fundamentus!A:U,3,FALSE)&gt;15,"Ruim","n/a"))</f>
        <v>Bom</v>
      </c>
      <c r="ER172" s="36" t="str">
        <f>IF(VLOOKUP(BK172,Fundamentus!A:U,4,FALSE)&lt;1,"Baixo",IF(VLOOKUP(BK172,Fundamentus!A:U,4,FALSE)&lt;1.5,"Moderado",IF(VLOOKUP(BK172,Fundamentus!A:U,4,FALSE)&gt;1.5,"Alto","n/a")))</f>
        <v>Moderado</v>
      </c>
      <c r="ES172" s="20" t="str">
        <f>IF(VLOOKUP(BK172,Fundamentus!A:U,8,FALSE)&lt;0,"Risco elevado",IF(VLOOKUP(BK172,Fundamentus!A:U,8,FALSE)&lt;1,"Saudável",IF(VLOOKUP(BK172,Fundamentus!A:U,8,FALSE)&lt;3,"Estável",IF(VLOOKUP(BK172,Fundamentus!A:U,8,FALSE)&gt;3,"Alerta","n/a"))))</f>
        <v>Alerta</v>
      </c>
      <c r="ET172" s="36" t="str">
        <f t="shared" si="140"/>
        <v>Bom</v>
      </c>
      <c r="EU172" s="20" t="str">
        <f>IF(VLOOKUP(BK172,Fundamentus!A:U,12,FALSE)&lt;2,"Subvalorizada",IF(VLOOKUP(BK172,Fundamentus!A:U,12,FALSE)&lt;6,"Muita barata",IF(VLOOKUP(BK172,Fundamentus!A:U,12,FALSE)&lt;6,"Barata",IF(VLOOKUP(BK172,Fundamentus!A:U,12,FALSE)&lt;8,"Atrativa",IF(VLOOKUP(BK172,Fundamentus!A:U,12,FALSE)&gt;8,"Supervalorizada","n/a")))))</f>
        <v>Atrativa</v>
      </c>
      <c r="EW172" s="20" t="str">
        <f>IF(VLOOKUP(BK172,Fundamentus!A:U,17,FALSE)&lt;0.1,"Fraco retorno",IF(VLOOKUP(BK172,Fundamentus!A:U,17,FALSE)&gt;0.1,"Bom retorno","n/a"))</f>
        <v>Bom retorno</v>
      </c>
      <c r="EX172" s="20" t="str">
        <f>IF(VLOOKUP(BK172,Fundamentus!A:U,16,FALSE)&lt;0.1,"Ineficiente",IF(VLOOKUP(BK172,Fundamentus!A:U,16,FALSE)&gt;0.1,"Eficiente","n/a"))</f>
        <v>Eficiente</v>
      </c>
      <c r="EY172" s="41" t="str">
        <f>IF(VLOOKUP(BK172,Fundamentus!A:U,16,FALSE)&lt;0.1,"Oper. Ineficiente",IF(VLOOKUP(BK172,Fundamentus!A:U,16,FALSE)&gt;0.1,"Oper.Eficiente","n/a"))</f>
        <v>Oper.Eficiente</v>
      </c>
      <c r="EZ172" s="42">
        <f>VLOOKUP(BK172,Fundamentus!A:U,14,FALSE)</f>
        <v>0.72609999999999997</v>
      </c>
      <c r="FA172" s="20" t="str">
        <f>IF(VLOOKUP(BK172,Fundamentus!A:U,21,FALSE)&lt;0,"Negativo",IF(VLOOKUP(BK172,Fundamentus!A:U,21,FALSE)&lt;0.05,"Fraco",IF(VLOOKUP(BK172,Fundamentus!A:U,21,FALSE)&lt;0.1,"Bom",IF(VLOOKUP(BK172,Fundamentus!A:U,21,FALSE)&gt;0.1,"Muito bom","n/a"))))</f>
        <v>Muito bom</v>
      </c>
      <c r="FC172" s="37" t="str">
        <f>IF(VLOOKUP(BK172,Fundamentus!A:U,15,FALSE)&gt;1,"Bom",IF(VLOOKUP(BK172,Fundamentus!A:U,15,FALSE)&lt;1,"Ruim","n/a"))</f>
        <v>Bom</v>
      </c>
      <c r="FD172" s="20" t="str">
        <f>IF(VLOOKUP(BK172,Fundamentus!A:U,20,FALSE)&lt;0.5,"Baixa",IF(VLOOKUP(BK172,Fundamentus!A:U,20,FALSE)&lt;1,"Moderada",IF(VLOOKUP(BK172,Fundamentus!A:U,20,FALSE)&lt;2,"Alerta",IF(VLOOKUP(BK172,Fundamentus!A:U,20,FALSE)&gt;2,"Alta","n/a"))))</f>
        <v>Moderada</v>
      </c>
      <c r="FE172" s="10"/>
    </row>
    <row r="173" spans="1:161" s="2" customFormat="1" ht="11.25" hidden="1"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8">
        <v>11.27</v>
      </c>
      <c r="BC173" s="62">
        <v>11.21</v>
      </c>
      <c r="BD173" s="62">
        <v>10.92</v>
      </c>
      <c r="BE173" s="62">
        <v>11</v>
      </c>
      <c r="BF173" s="62">
        <v>10.99</v>
      </c>
      <c r="BG173" s="81">
        <v>10.85</v>
      </c>
      <c r="BH173" s="62">
        <v>11.61</v>
      </c>
      <c r="BI173" s="62">
        <v>11.61</v>
      </c>
      <c r="BJ173" s="62" cm="1">
        <f t="array" aca="1" ref="BJ173" ca="1">_FV(EH173,"Preço")</f>
        <v>11.76</v>
      </c>
      <c r="BK173" s="83" t="s">
        <v>169</v>
      </c>
      <c r="BL173" s="44" cm="1">
        <f t="array" aca="1" ref="BL173" ca="1">_FV(EH173,"Média de volume",TRUE)</f>
        <v>1926560</v>
      </c>
      <c r="BM173" s="44">
        <v>1590200</v>
      </c>
      <c r="BN173" s="44" cm="1">
        <f t="array" aca="1" ref="BN173" ca="1">_FV(EH173,"Volume")</f>
        <v>294400</v>
      </c>
      <c r="BO173" s="32" cm="1">
        <f t="array" aca="1" ref="BO173" ca="1">_FV(EH173,"Beta")</f>
        <v>0.49519999999999997</v>
      </c>
      <c r="BP173" s="86" cm="1">
        <f t="array" aca="1" ref="BP173" ca="1">_FV(EH173,"Variação (%)",TRUE)</f>
        <v>1.2920000000000001E-2</v>
      </c>
      <c r="BQ173" s="48"/>
      <c r="BR173" s="48"/>
      <c r="BT173" s="20" cm="1">
        <f t="array" aca="1" ref="BT173" ca="1">_FV(EH173,"Baixo")</f>
        <v>11.48</v>
      </c>
      <c r="BU173" s="20" cm="1">
        <f t="array" aca="1" ref="BU173" ca="1">_FV(EH173,"Alto")</f>
        <v>11.77</v>
      </c>
      <c r="BV173" s="32"/>
      <c r="BW173" s="73">
        <f ca="1">SQRT(22.5*(BJ173/VLOOKUP(BK173,Fundamentus!A:U,3,FALSE))*(BJ173/VLOOKUP(BK173,Fundamentus!A:U,4,FALSE)))</f>
        <v>8.251625901894359</v>
      </c>
      <c r="BY173" s="72">
        <f t="shared" ca="1" si="135"/>
        <v>1.2919896640826904E-2</v>
      </c>
      <c r="BZ173" s="8"/>
      <c r="CA173" s="71">
        <f t="shared" si="143"/>
        <v>10.24</v>
      </c>
      <c r="CB173" s="71">
        <f t="shared" si="136"/>
        <v>12.3</v>
      </c>
      <c r="CC173" s="71">
        <f t="shared" si="144"/>
        <v>11.167295081967209</v>
      </c>
      <c r="CD173" s="17"/>
      <c r="CE173" s="43">
        <f t="shared" si="141"/>
        <v>11.222934723286336</v>
      </c>
      <c r="CF173" s="18">
        <f>FORECAST("04/07/2025", BF173:BI173, $BF$5:$BI$5)</f>
        <v>11.920000000000073</v>
      </c>
      <c r="CG173" s="43">
        <f t="shared" si="142"/>
        <v>12.617065276713809</v>
      </c>
      <c r="CI173" s="17"/>
      <c r="CJ173" s="20">
        <f>CA173-2*(CB173-CM173)</f>
        <v>8.4066666666666645</v>
      </c>
      <c r="CK173" s="20">
        <f>CM173-(CB173-CA173)</f>
        <v>9.3233333333333324</v>
      </c>
      <c r="CL173" s="20">
        <f>2*CM173-CB173</f>
        <v>10.466666666666665</v>
      </c>
      <c r="CM173" s="48">
        <f>(CB173+CA173+BI173)/3</f>
        <v>11.383333333333333</v>
      </c>
      <c r="CN173" s="20">
        <f>2*CM173-CA173</f>
        <v>12.526666666666666</v>
      </c>
      <c r="CO173" s="20">
        <f>CM173+(CB173-CA173)</f>
        <v>13.443333333333333</v>
      </c>
      <c r="CP173" s="20">
        <f>CB173+2*(CM173-CA173)</f>
        <v>14.586666666666666</v>
      </c>
      <c r="CQ173" s="2" cm="1">
        <f t="array" aca="1" ref="CQ173" ca="1">MAX(_xlfn._xlws.FILTER(CJ173:CP173,CJ173:CP173&lt;BJ173))</f>
        <v>11.383333333333333</v>
      </c>
      <c r="CR173" s="2" cm="1">
        <f t="array" aca="1" ref="CR173" ca="1">MIN(_xlfn._xlws.FILTER($CJ173:$CP173,$CJ173:$CP173&gt;BJ173))</f>
        <v>12.526666666666666</v>
      </c>
      <c r="CS173" s="19">
        <f t="shared" ca="1" si="145"/>
        <v>0.10043923865300131</v>
      </c>
      <c r="CT173" s="23">
        <f t="shared" ca="1" si="146"/>
        <v>-5.0219619326500653E-2</v>
      </c>
      <c r="CU173" s="23">
        <f t="shared" ca="1" si="147"/>
        <v>-3.3479746217667104E-2</v>
      </c>
      <c r="CV173" s="23">
        <f t="shared" ca="1" si="148"/>
        <v>-2.008784773060026E-2</v>
      </c>
      <c r="CW173" s="23">
        <f t="shared" ca="1" si="149"/>
        <v>-1.1159915405889034E-2</v>
      </c>
      <c r="CX173" s="23">
        <f t="shared" ca="1" si="150"/>
        <v>-5.9081905090000771E-3</v>
      </c>
      <c r="CY173" s="23">
        <f t="shared" ca="1" si="151"/>
        <v>-3.043613292515191E-3</v>
      </c>
      <c r="CZ173" s="23">
        <f t="shared" ca="1" si="152"/>
        <v>-1.5452190562000201E-3</v>
      </c>
      <c r="DA173" s="24">
        <f t="shared" ca="1" si="153"/>
        <v>1.5452190562000201E-3</v>
      </c>
      <c r="DB173" s="24">
        <f t="shared" ca="1" si="154"/>
        <v>3.043613292515191E-3</v>
      </c>
      <c r="DC173" s="24">
        <f t="shared" ca="1" si="155"/>
        <v>5.9081905090000771E-3</v>
      </c>
      <c r="DD173" s="24">
        <f t="shared" ca="1" si="156"/>
        <v>1.1159915405889034E-2</v>
      </c>
      <c r="DE173" s="24">
        <f t="shared" ca="1" si="157"/>
        <v>2.008784773060026E-2</v>
      </c>
      <c r="DF173" s="24">
        <f t="shared" ca="1" si="158"/>
        <v>3.3479746217667104E-2</v>
      </c>
      <c r="DG173" s="24">
        <f t="shared" ca="1" si="159"/>
        <v>5.0219619326500653E-2</v>
      </c>
      <c r="DI173" s="19" cm="1">
        <f t="array" aca="1" ref="DI173" ca="1">MAX(_xlfn._xlws.FILTER(CT173:DG173,CT173:DG173&lt;BP173))</f>
        <v>1.1159915405889034E-2</v>
      </c>
      <c r="DJ173" s="19" cm="1">
        <f t="array" aca="1" ref="DJ173" ca="1">MIN(_xlfn._xlws.FILTER(CT173:DG173,CT173:DG173&gt;BP173))</f>
        <v>2.008784773060026E-2</v>
      </c>
      <c r="DK173" s="2" cm="1">
        <f t="array" aca="1" ref="DK173" ca="1">_FV(EH173,"Fechamento anterior",TRUE)</f>
        <v>11.61</v>
      </c>
      <c r="DL173" s="36">
        <f ca="1">(BJ173-DM173)/(DN173-DM173)</f>
        <v>0.1971320089497671</v>
      </c>
      <c r="DM173" s="18">
        <f t="shared" ca="1" si="160"/>
        <v>11.739566617862371</v>
      </c>
      <c r="DN173" s="18">
        <f t="shared" ca="1" si="161"/>
        <v>11.843219912152268</v>
      </c>
      <c r="DO173" s="9"/>
      <c r="DP173" s="9"/>
      <c r="DQ173" s="94">
        <v>3.466580002166627E-3</v>
      </c>
      <c r="DR173" s="94">
        <v>1.8908618193636145E-3</v>
      </c>
      <c r="DS173" s="94">
        <v>3.3502995940983158E-3</v>
      </c>
      <c r="DT173" s="94">
        <f t="shared" ca="1" si="137"/>
        <v>8.9279323247112262E-3</v>
      </c>
      <c r="DU173" s="87">
        <f ca="1">(BJ173-CF173)/(CF173-CE173)</f>
        <v>-0.22953374001697702</v>
      </c>
      <c r="DV173" s="46"/>
      <c r="DW173" s="43">
        <f>_xlfn.STDEV.P(BF173:BI173)</f>
        <v>0.34853263835686871</v>
      </c>
      <c r="DX173" s="76">
        <f ca="1">BO173-$DT$2</f>
        <v>-0.50190000000000012</v>
      </c>
      <c r="DY173" s="76">
        <f ca="1">BO173-BP173*100</f>
        <v>-0.79680000000000006</v>
      </c>
      <c r="DZ173" s="101"/>
      <c r="EA173" s="100">
        <v>2.8811</v>
      </c>
      <c r="EB173" s="107">
        <v>2.0232000000000001</v>
      </c>
      <c r="EC173" s="107">
        <v>-1.0946000000000002</v>
      </c>
      <c r="ED173" s="98">
        <f t="shared" ca="1" si="138"/>
        <v>0.29489999999999994</v>
      </c>
      <c r="EE173" s="66"/>
      <c r="EF173" s="66"/>
      <c r="EH173" s="2" t="e" vm="175">
        <v>#VALUE!</v>
      </c>
      <c r="EJ173" s="10" cm="1">
        <f t="array" aca="1" ref="EJ173" ca="1">_FV(EH173,"Ações em circulação",TRUE)</f>
        <v>552495700</v>
      </c>
      <c r="EK173" s="21">
        <f>VLOOKUP(BK173,Fundamentus!A:U,5,FALSE)</f>
        <v>2.5590000000000002</v>
      </c>
      <c r="EL173" s="2">
        <f ca="1">(BJ173*EJ173)/EK173</f>
        <v>2539018926.1430244</v>
      </c>
      <c r="EM173" s="20">
        <v>608610609.10339963</v>
      </c>
      <c r="EN173" s="20">
        <f t="shared" ca="1" si="139"/>
        <v>616473795.26752627</v>
      </c>
      <c r="EP173" s="19">
        <f t="shared" ca="1" si="134"/>
        <v>1.2919896640826822E-2</v>
      </c>
      <c r="EQ173" s="40" t="str">
        <f>IF(VLOOKUP(BK173,Fundamentus!A:U,3,FALSE)&lt;15,"Bom",IF(VLOOKUP(BK173,Fundamentus!A:U,3,FALSE)&gt;15,"Ruim","n/a"))</f>
        <v>Bom</v>
      </c>
      <c r="ER173" s="36" t="str">
        <f>IF(VLOOKUP(BK173,Fundamentus!A:U,4,FALSE)&lt;1,"Baixo",IF(VLOOKUP(BK173,Fundamentus!A:U,4,FALSE)&lt;1.5,"Moderado",IF(VLOOKUP(BK173,Fundamentus!A:U,4,FALSE)&gt;1.5,"Alto","n/a")))</f>
        <v>Alto</v>
      </c>
      <c r="ES173" s="20" t="str">
        <f>IF(VLOOKUP(BK173,Fundamentus!A:U,8,FALSE)&lt;0,"Risco elevado",IF(VLOOKUP(BK173,Fundamentus!A:U,8,FALSE)&lt;1,"Saudável",IF(VLOOKUP(BK173,Fundamentus!A:U,8,FALSE)&lt;3,"Estável",IF(VLOOKUP(BK173,Fundamentus!A:U,8,FALSE)&gt;3,"Alerta","n/a"))))</f>
        <v>Risco elevado</v>
      </c>
      <c r="ET173" s="36" t="str">
        <f t="shared" si="140"/>
        <v>Bom</v>
      </c>
      <c r="EU173" s="20" t="str">
        <f>IF(VLOOKUP(BK173,Fundamentus!A:U,12,FALSE)&lt;2,"Subvalorizada",IF(VLOOKUP(BK173,Fundamentus!A:U,12,FALSE)&lt;6,"Muita barata",IF(VLOOKUP(BK173,Fundamentus!A:U,12,FALSE)&lt;6,"Barata",IF(VLOOKUP(BK173,Fundamentus!A:U,12,FALSE)&lt;8,"Atrativa",IF(VLOOKUP(BK173,Fundamentus!A:U,12,FALSE)&gt;8,"Supervalorizada","n/a")))))</f>
        <v>Atrativa</v>
      </c>
      <c r="EW173" s="20" t="str">
        <f>IF(VLOOKUP(BK173,Fundamentus!A:U,17,FALSE)&lt;0.1,"Fraco retorno",IF(VLOOKUP(BK173,Fundamentus!A:U,17,FALSE)&gt;0.1,"Bom retorno","n/a"))</f>
        <v>Bom retorno</v>
      </c>
      <c r="EX173" s="20" t="str">
        <f>IF(VLOOKUP(BK173,Fundamentus!A:U,16,FALSE)&lt;0.1,"Ineficiente",IF(VLOOKUP(BK173,Fundamentus!A:U,16,FALSE)&gt;0.1,"Eficiente","n/a"))</f>
        <v>Eficiente</v>
      </c>
      <c r="EY173" s="41" t="str">
        <f>IF(VLOOKUP(BK173,Fundamentus!A:U,16,FALSE)&lt;0.1,"Oper. Ineficiente",IF(VLOOKUP(BK173,Fundamentus!A:U,16,FALSE)&gt;0.1,"Oper.Eficiente","n/a"))</f>
        <v>Oper.Eficiente</v>
      </c>
      <c r="EZ173" s="42">
        <f>VLOOKUP(BK173,Fundamentus!A:U,14,FALSE)</f>
        <v>0.24279999999999999</v>
      </c>
      <c r="FA173" s="20" t="str">
        <f>IF(VLOOKUP(BK173,Fundamentus!A:U,21,FALSE)&lt;0,"Negativo",IF(VLOOKUP(BK173,Fundamentus!A:U,21,FALSE)&lt;0.05,"Fraco",IF(VLOOKUP(BK173,Fundamentus!A:U,21,FALSE)&lt;0.1,"Bom",IF(VLOOKUP(BK173,Fundamentus!A:U,21,FALSE)&gt;0.1,"Muito bom","n/a"))))</f>
        <v>Bom</v>
      </c>
      <c r="FC173" s="37" t="str">
        <f>IF(VLOOKUP(BK173,Fundamentus!A:U,15,FALSE)&gt;1,"Bom",IF(VLOOKUP(BK173,Fundamentus!A:U,15,FALSE)&lt;1,"Ruim","n/a"))</f>
        <v>Ruim</v>
      </c>
      <c r="FD173" s="20" t="str">
        <f>IF(VLOOKUP(BK173,Fundamentus!A:U,20,FALSE)&lt;0.5,"Baixa",IF(VLOOKUP(BK173,Fundamentus!A:U,20,FALSE)&lt;1,"Moderada",IF(VLOOKUP(BK173,Fundamentus!A:U,20,FALSE)&lt;2,"Alerta",IF(VLOOKUP(BK173,Fundamentus!A:U,20,FALSE)&gt;2,"Alta","n/a"))))</f>
        <v>Baixa</v>
      </c>
      <c r="FE173" s="10"/>
    </row>
    <row r="174" spans="1:161" s="2" customFormat="1" ht="11.25" hidden="1"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8">
        <v>13.47</v>
      </c>
      <c r="BC174" s="62">
        <v>15.08</v>
      </c>
      <c r="BD174" s="62">
        <v>13.97</v>
      </c>
      <c r="BE174" s="62">
        <v>14.47</v>
      </c>
      <c r="BF174" s="62">
        <v>14.5</v>
      </c>
      <c r="BG174" s="81">
        <v>15.56</v>
      </c>
      <c r="BH174" s="62">
        <v>15.79</v>
      </c>
      <c r="BI174" s="62">
        <v>14.33</v>
      </c>
      <c r="BJ174" s="62" cm="1">
        <f t="array" aca="1" ref="BJ174" ca="1">_FV(EH174,"Preço")</f>
        <v>14.31</v>
      </c>
      <c r="BK174" s="83" t="s">
        <v>170</v>
      </c>
      <c r="BL174" s="44" cm="1">
        <f t="array" aca="1" ref="BL174" ca="1">_FV(EH174,"Média de volume",TRUE)</f>
        <v>3158540</v>
      </c>
      <c r="BM174" s="44">
        <v>1569300</v>
      </c>
      <c r="BN174" s="44" cm="1">
        <f t="array" aca="1" ref="BN174" ca="1">_FV(EH174,"Volume")</f>
        <v>700500</v>
      </c>
      <c r="BO174" s="32" cm="1">
        <f t="array" aca="1" ref="BO174" ca="1">_FV(EH174,"Beta")</f>
        <v>0.83779999999999999</v>
      </c>
      <c r="BP174" s="86" cm="1">
        <f t="array" aca="1" ref="BP174" ca="1">_FV(EH174,"Variação (%)",TRUE)</f>
        <v>-1.3960000000000001E-3</v>
      </c>
      <c r="BQ174" s="48"/>
      <c r="BR174" s="48"/>
      <c r="BT174" s="20" cm="1">
        <f t="array" aca="1" ref="BT174" ca="1">_FV(EH174,"Baixo")</f>
        <v>14.21</v>
      </c>
      <c r="BU174" s="20" cm="1">
        <f t="array" aca="1" ref="BU174" ca="1">_FV(EH174,"Alto")</f>
        <v>14.36</v>
      </c>
      <c r="BV174" s="32"/>
      <c r="BW174" s="73">
        <f ca="1">SQRT(22.5*(BJ174/VLOOKUP(BK174,Fundamentus!A:U,3,FALSE))*(BJ174/VLOOKUP(BK174,Fundamentus!A:U,4,FALSE)))</f>
        <v>23.427766633763287</v>
      </c>
      <c r="BY174" s="72">
        <f t="shared" ca="1" si="135"/>
        <v>-1.3956734124214636E-3</v>
      </c>
      <c r="BZ174" s="8"/>
      <c r="CA174" s="71">
        <f t="shared" si="143"/>
        <v>12.84</v>
      </c>
      <c r="CB174" s="71">
        <f t="shared" si="136"/>
        <v>21.64</v>
      </c>
      <c r="CC174" s="71">
        <f t="shared" si="144"/>
        <v>17.279262295081963</v>
      </c>
      <c r="CD174" s="17"/>
      <c r="CE174" s="43">
        <f t="shared" si="141"/>
        <v>13.698873047067803</v>
      </c>
      <c r="CF174" s="18">
        <f>FORECAST("04/07/2025", BF174:BI174, $BF$5:$BI$5)</f>
        <v>14.974999999999994</v>
      </c>
      <c r="CG174" s="43">
        <f t="shared" si="142"/>
        <v>16.251126952932186</v>
      </c>
      <c r="CI174" s="17"/>
      <c r="CJ174" s="20">
        <f>CA174-2*(CB174-CM174)</f>
        <v>2.0999999999999979</v>
      </c>
      <c r="CK174" s="20">
        <f>CM174-(CB174-CA174)</f>
        <v>7.4699999999999989</v>
      </c>
      <c r="CL174" s="20">
        <f>2*CM174-CB174</f>
        <v>10.899999999999999</v>
      </c>
      <c r="CM174" s="48">
        <f>(CB174+CA174+BI174)/3</f>
        <v>16.27</v>
      </c>
      <c r="CN174" s="20">
        <f>2*CM174-CA174</f>
        <v>19.7</v>
      </c>
      <c r="CO174" s="20">
        <f>CM174+(CB174-CA174)</f>
        <v>25.07</v>
      </c>
      <c r="CP174" s="20">
        <f>CB174+2*(CM174-CA174)</f>
        <v>28.5</v>
      </c>
      <c r="CQ174" s="2" cm="1">
        <f t="array" aca="1" ref="CQ174" ca="1">MAX(_xlfn._xlws.FILTER(CJ174:CP174,CJ174:CP174&lt;BJ174))</f>
        <v>10.899999999999999</v>
      </c>
      <c r="CR174" s="2" cm="1">
        <f t="array" aca="1" ref="CR174" ca="1">MIN(_xlfn._xlws.FILTER($CJ174:$CP174,$CJ174:$CP174&gt;BJ174))</f>
        <v>16.27</v>
      </c>
      <c r="CS174" s="19">
        <f t="shared" ca="1" si="145"/>
        <v>0.49266055045871582</v>
      </c>
      <c r="CT174" s="23">
        <f t="shared" ca="1" si="146"/>
        <v>-0.24633027522935791</v>
      </c>
      <c r="CU174" s="23">
        <f t="shared" ca="1" si="147"/>
        <v>-0.1642201834862386</v>
      </c>
      <c r="CV174" s="23">
        <f t="shared" ca="1" si="148"/>
        <v>-9.8532110091743161E-2</v>
      </c>
      <c r="CW174" s="23">
        <f t="shared" ca="1" si="149"/>
        <v>-5.4740061162079537E-2</v>
      </c>
      <c r="CX174" s="23">
        <f t="shared" ca="1" si="150"/>
        <v>-2.8980032379924459E-2</v>
      </c>
      <c r="CY174" s="23">
        <f t="shared" ca="1" si="151"/>
        <v>-1.4929107589658056E-2</v>
      </c>
      <c r="CZ174" s="23">
        <f t="shared" ca="1" si="152"/>
        <v>-7.5793930839802431E-3</v>
      </c>
      <c r="DA174" s="24">
        <f t="shared" ca="1" si="153"/>
        <v>7.5793930839802431E-3</v>
      </c>
      <c r="DB174" s="24">
        <f t="shared" ca="1" si="154"/>
        <v>1.4929107589658056E-2</v>
      </c>
      <c r="DC174" s="24">
        <f t="shared" ca="1" si="155"/>
        <v>2.8980032379924459E-2</v>
      </c>
      <c r="DD174" s="24">
        <f t="shared" ca="1" si="156"/>
        <v>5.4740061162079537E-2</v>
      </c>
      <c r="DE174" s="24">
        <f t="shared" ca="1" si="157"/>
        <v>9.8532110091743161E-2</v>
      </c>
      <c r="DF174" s="24">
        <f t="shared" ca="1" si="158"/>
        <v>0.1642201834862386</v>
      </c>
      <c r="DG174" s="24">
        <f t="shared" ca="1" si="159"/>
        <v>0.24633027522935791</v>
      </c>
      <c r="DI174" s="19" cm="1">
        <f t="array" aca="1" ref="DI174" ca="1">MAX(_xlfn._xlws.FILTER(CT174:DG174,CT174:DG174&lt;BP174))</f>
        <v>-7.5793930839802431E-3</v>
      </c>
      <c r="DJ174" s="19" cm="1">
        <f t="array" aca="1" ref="DJ174" ca="1">MIN(_xlfn._xlws.FILTER(CT174:DG174,CT174:DG174&gt;BP174))</f>
        <v>7.5793930839802431E-3</v>
      </c>
      <c r="DK174" s="2" cm="1">
        <f t="array" aca="1" ref="DK174" ca="1">_FV(EH174,"Fechamento anterior",TRUE)</f>
        <v>14.33</v>
      </c>
      <c r="DL174" s="36">
        <f ca="1">(BJ174-DM174)/(DN174-DM174)</f>
        <v>0.40792973810981303</v>
      </c>
      <c r="DM174" s="18">
        <f t="shared" ca="1" si="160"/>
        <v>14.221387297106563</v>
      </c>
      <c r="DN174" s="18">
        <f t="shared" ca="1" si="161"/>
        <v>14.438612702893437</v>
      </c>
      <c r="DO174" s="9"/>
      <c r="DP174" s="9"/>
      <c r="DQ174" s="94">
        <v>8.8161135748040936E-3</v>
      </c>
      <c r="DR174" s="94">
        <v>1.8183234248033441E-2</v>
      </c>
      <c r="DS174" s="94">
        <v>2.2128532869347947E-2</v>
      </c>
      <c r="DT174" s="94">
        <f t="shared" ca="1" si="137"/>
        <v>1.5158786167960486E-2</v>
      </c>
      <c r="DU174" s="87">
        <f ca="1">(BJ174-CF174)/(CF174-CE174)</f>
        <v>-0.52110802806257273</v>
      </c>
      <c r="DV174" s="46"/>
      <c r="DW174" s="43">
        <f>_xlfn.STDEV.P(BF174:BI174)</f>
        <v>0.63806347646609562</v>
      </c>
      <c r="DX174" s="76">
        <f ca="1">BO174-$DT$2</f>
        <v>-0.15930000000000011</v>
      </c>
      <c r="DY174" s="76">
        <f ca="1">BO174-BP174*100</f>
        <v>0.97740000000000005</v>
      </c>
      <c r="DZ174" s="101"/>
      <c r="EA174" s="100">
        <v>1.5245</v>
      </c>
      <c r="EB174" s="107">
        <v>1.8792</v>
      </c>
      <c r="EC174" s="107">
        <v>-1.1956000000000002</v>
      </c>
      <c r="ED174" s="98">
        <f t="shared" ca="1" si="138"/>
        <v>-1.1367000000000003</v>
      </c>
      <c r="EE174" s="66"/>
      <c r="EF174" s="66"/>
      <c r="EH174" s="2" t="e" vm="176">
        <v>#VALUE!</v>
      </c>
      <c r="EJ174" s="10" cm="1">
        <f t="array" aca="1" ref="EJ174" ca="1">_FV(EH174,"Ações em circulação",TRUE)</f>
        <v>293472100</v>
      </c>
      <c r="EK174" s="21">
        <f>VLOOKUP(BK174,Fundamentus!A:U,5,FALSE)</f>
        <v>1.351</v>
      </c>
      <c r="EL174" s="2">
        <f ca="1">(BJ174*EJ174)/EK174</f>
        <v>3108501666.1732049</v>
      </c>
      <c r="EM174" s="20">
        <v>511129343.2202813</v>
      </c>
      <c r="EN174" s="20">
        <f t="shared" ca="1" si="139"/>
        <v>510415973.58564031</v>
      </c>
      <c r="EP174" s="19">
        <f t="shared" ca="1" si="134"/>
        <v>-1.3956734124214165E-3</v>
      </c>
      <c r="EQ174" s="40" t="str">
        <f>IF(VLOOKUP(BK174,Fundamentus!A:U,3,FALSE)&lt;15,"Bom",IF(VLOOKUP(BK174,Fundamentus!A:U,3,FALSE)&gt;15,"Ruim","n/a"))</f>
        <v>Bom</v>
      </c>
      <c r="ER174" s="36" t="str">
        <f>IF(VLOOKUP(BK174,Fundamentus!A:U,4,FALSE)&lt;1,"Baixo",IF(VLOOKUP(BK174,Fundamentus!A:U,4,FALSE)&lt;1.5,"Moderado",IF(VLOOKUP(BK174,Fundamentus!A:U,4,FALSE)&gt;1.5,"Alto","n/a")))</f>
        <v>Moderado</v>
      </c>
      <c r="ES174" s="20" t="str">
        <f>IF(VLOOKUP(BK174,Fundamentus!A:U,8,FALSE)&lt;0,"Risco elevado",IF(VLOOKUP(BK174,Fundamentus!A:U,8,FALSE)&lt;1,"Saudável",IF(VLOOKUP(BK174,Fundamentus!A:U,8,FALSE)&lt;3,"Estável",IF(VLOOKUP(BK174,Fundamentus!A:U,8,FALSE)&gt;3,"Alerta","n/a"))))</f>
        <v>Alerta</v>
      </c>
      <c r="ET174" s="36" t="str">
        <f t="shared" si="140"/>
        <v>Bom</v>
      </c>
      <c r="EU174" s="20" t="str">
        <f>IF(VLOOKUP(BK174,Fundamentus!A:U,12,FALSE)&lt;2,"Subvalorizada",IF(VLOOKUP(BK174,Fundamentus!A:U,12,FALSE)&lt;6,"Muita barata",IF(VLOOKUP(BK174,Fundamentus!A:U,12,FALSE)&lt;6,"Barata",IF(VLOOKUP(BK174,Fundamentus!A:U,12,FALSE)&lt;8,"Atrativa",IF(VLOOKUP(BK174,Fundamentus!A:U,12,FALSE)&gt;8,"Supervalorizada","n/a")))))</f>
        <v>Muita barata</v>
      </c>
      <c r="EW174" s="20" t="str">
        <f>IF(VLOOKUP(BK174,Fundamentus!A:U,17,FALSE)&lt;0.1,"Fraco retorno",IF(VLOOKUP(BK174,Fundamentus!A:U,17,FALSE)&gt;0.1,"Bom retorno","n/a"))</f>
        <v>Bom retorno</v>
      </c>
      <c r="EX174" s="20" t="str">
        <f>IF(VLOOKUP(BK174,Fundamentus!A:U,16,FALSE)&lt;0.1,"Ineficiente",IF(VLOOKUP(BK174,Fundamentus!A:U,16,FALSE)&gt;0.1,"Eficiente","n/a"))</f>
        <v>Eficiente</v>
      </c>
      <c r="EY174" s="41" t="str">
        <f>IF(VLOOKUP(BK174,Fundamentus!A:U,16,FALSE)&lt;0.1,"Oper. Ineficiente",IF(VLOOKUP(BK174,Fundamentus!A:U,16,FALSE)&gt;0.1,"Oper.Eficiente","n/a"))</f>
        <v>Oper.Eficiente</v>
      </c>
      <c r="EZ174" s="42">
        <f>VLOOKUP(BK174,Fundamentus!A:U,14,FALSE)</f>
        <v>0.16420000000000001</v>
      </c>
      <c r="FA174" s="20" t="str">
        <f>IF(VLOOKUP(BK174,Fundamentus!A:U,21,FALSE)&lt;0,"Negativo",IF(VLOOKUP(BK174,Fundamentus!A:U,21,FALSE)&lt;0.05,"Fraco",IF(VLOOKUP(BK174,Fundamentus!A:U,21,FALSE)&lt;0.1,"Bom",IF(VLOOKUP(BK174,Fundamentus!A:U,21,FALSE)&gt;0.1,"Muito bom","n/a"))))</f>
        <v>Muito bom</v>
      </c>
      <c r="FC174" s="37" t="str">
        <f>IF(VLOOKUP(BK174,Fundamentus!A:U,15,FALSE)&gt;1,"Bom",IF(VLOOKUP(BK174,Fundamentus!A:U,15,FALSE)&lt;1,"Ruim","n/a"))</f>
        <v>Bom</v>
      </c>
      <c r="FD174" s="20" t="str">
        <f>IF(VLOOKUP(BK174,Fundamentus!A:U,20,FALSE)&lt;0.5,"Baixa",IF(VLOOKUP(BK174,Fundamentus!A:U,20,FALSE)&lt;1,"Moderada",IF(VLOOKUP(BK174,Fundamentus!A:U,20,FALSE)&lt;2,"Alerta",IF(VLOOKUP(BK174,Fundamentus!A:U,20,FALSE)&gt;2,"Alta","n/a"))))</f>
        <v>Baixa</v>
      </c>
      <c r="FE174" s="10"/>
    </row>
    <row r="175" spans="1:161" s="2" customFormat="1" ht="11.25" hidden="1"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8">
        <v>16.47</v>
      </c>
      <c r="BC175" s="62">
        <v>19.46</v>
      </c>
      <c r="BD175" s="62">
        <v>18.5</v>
      </c>
      <c r="BE175" s="62">
        <v>20.66</v>
      </c>
      <c r="BF175" s="62">
        <v>23</v>
      </c>
      <c r="BG175" s="81">
        <v>22.7</v>
      </c>
      <c r="BH175" s="62">
        <v>21.28</v>
      </c>
      <c r="BI175" s="62">
        <v>21.89</v>
      </c>
      <c r="BJ175" s="62" cm="1">
        <f t="array" aca="1" ref="BJ175" ca="1">_FV(EH175,"Preço")</f>
        <v>22.82</v>
      </c>
      <c r="BK175" s="83" t="s">
        <v>171</v>
      </c>
      <c r="BL175" s="44" cm="1">
        <f t="array" aca="1" ref="BL175" ca="1">_FV(EH175,"Média de volume",TRUE)</f>
        <v>822690</v>
      </c>
      <c r="BM175" s="44">
        <v>324800</v>
      </c>
      <c r="BN175" s="44" cm="1">
        <f t="array" aca="1" ref="BN175" ca="1">_FV(EH175,"Volume")</f>
        <v>470600</v>
      </c>
      <c r="BO175" s="32" cm="1">
        <f t="array" aca="1" ref="BO175" ca="1">_FV(EH175,"Beta")</f>
        <v>1.8667</v>
      </c>
      <c r="BP175" s="86" cm="1">
        <f t="array" aca="1" ref="BP175" ca="1">_FV(EH175,"Variação (%)",TRUE)</f>
        <v>4.2485000000000002E-2</v>
      </c>
      <c r="BQ175" s="48"/>
      <c r="BR175" s="48"/>
      <c r="BT175" s="20" cm="1">
        <f t="array" aca="1" ref="BT175" ca="1">_FV(EH175,"Baixo")</f>
        <v>21.67</v>
      </c>
      <c r="BU175" s="20" cm="1">
        <f t="array" aca="1" ref="BU175" ca="1">_FV(EH175,"Alto")</f>
        <v>22.9</v>
      </c>
      <c r="BV175" s="32"/>
      <c r="BW175" s="73">
        <f ca="1">SQRT(22.5*(BJ175/VLOOKUP(BK175,Fundamentus!A:U,3,FALSE))*(BJ175/VLOOKUP(BK175,Fundamentus!A:U,4,FALSE)))</f>
        <v>37.617656007229648</v>
      </c>
      <c r="BY175" s="72">
        <f t="shared" ca="1" si="135"/>
        <v>4.2485153037916841E-2</v>
      </c>
      <c r="BZ175" s="8"/>
      <c r="CA175" s="71">
        <f t="shared" si="143"/>
        <v>10.220000000000001</v>
      </c>
      <c r="CB175" s="71">
        <f t="shared" si="136"/>
        <v>23</v>
      </c>
      <c r="CC175" s="71">
        <f t="shared" si="144"/>
        <v>14.271065573770491</v>
      </c>
      <c r="CD175" s="17"/>
      <c r="CE175" s="43">
        <f t="shared" si="141"/>
        <v>19.676753902647619</v>
      </c>
      <c r="CF175" s="18">
        <f>FORECAST("04/07/2025", BF175:BI175, $BF$5:$BI$5)</f>
        <v>21.0300000000002</v>
      </c>
      <c r="CG175" s="43">
        <f t="shared" si="142"/>
        <v>22.383246097352782</v>
      </c>
      <c r="CI175" s="17"/>
      <c r="CJ175" s="20">
        <f>CA175-2*(CB175-CM175)</f>
        <v>0.96000000000000263</v>
      </c>
      <c r="CK175" s="20">
        <f>CM175-(CB175-CA175)</f>
        <v>5.5900000000000016</v>
      </c>
      <c r="CL175" s="20">
        <f>2*CM175-CB175</f>
        <v>13.740000000000002</v>
      </c>
      <c r="CM175" s="48">
        <f>(CB175+CA175+BI175)/3</f>
        <v>18.37</v>
      </c>
      <c r="CN175" s="20">
        <f>2*CM175-CA175</f>
        <v>26.520000000000003</v>
      </c>
      <c r="CO175" s="20">
        <f>CM175+(CB175-CA175)</f>
        <v>31.15</v>
      </c>
      <c r="CP175" s="20">
        <f>CB175+2*(CM175-CA175)</f>
        <v>39.299999999999997</v>
      </c>
      <c r="CQ175" s="2" cm="1">
        <f t="array" aca="1" ref="CQ175" ca="1">MAX(_xlfn._xlws.FILTER(CJ175:CP175,CJ175:CP175&lt;BJ175))</f>
        <v>18.37</v>
      </c>
      <c r="CR175" s="2" cm="1">
        <f t="array" aca="1" ref="CR175" ca="1">MIN(_xlfn._xlws.FILTER($CJ175:$CP175,$CJ175:$CP175&gt;BJ175))</f>
        <v>26.520000000000003</v>
      </c>
      <c r="CS175" s="19">
        <f t="shared" ca="1" si="145"/>
        <v>0.44365813826891687</v>
      </c>
      <c r="CT175" s="23">
        <f t="shared" ca="1" si="146"/>
        <v>-0.22182906913445843</v>
      </c>
      <c r="CU175" s="23">
        <f t="shared" ca="1" si="147"/>
        <v>-0.14788604608963896</v>
      </c>
      <c r="CV175" s="23">
        <f t="shared" ca="1" si="148"/>
        <v>-8.8731627653783368E-2</v>
      </c>
      <c r="CW175" s="23">
        <f t="shared" ca="1" si="149"/>
        <v>-4.9295348696546316E-2</v>
      </c>
      <c r="CX175" s="23">
        <f t="shared" ca="1" si="150"/>
        <v>-2.6097537545230403E-2</v>
      </c>
      <c r="CY175" s="23">
        <f t="shared" ca="1" si="151"/>
        <v>-1.3444186008148996E-2</v>
      </c>
      <c r="CZ175" s="23">
        <f t="shared" ca="1" si="152"/>
        <v>-6.8255098195217981E-3</v>
      </c>
      <c r="DA175" s="24">
        <f t="shared" ca="1" si="153"/>
        <v>6.8255098195217981E-3</v>
      </c>
      <c r="DB175" s="24">
        <f t="shared" ca="1" si="154"/>
        <v>1.3444186008148996E-2</v>
      </c>
      <c r="DC175" s="24">
        <f t="shared" ca="1" si="155"/>
        <v>2.6097537545230403E-2</v>
      </c>
      <c r="DD175" s="24">
        <f t="shared" ca="1" si="156"/>
        <v>4.9295348696546316E-2</v>
      </c>
      <c r="DE175" s="24">
        <f t="shared" ca="1" si="157"/>
        <v>8.8731627653783368E-2</v>
      </c>
      <c r="DF175" s="24">
        <f t="shared" ca="1" si="158"/>
        <v>0.14788604608963896</v>
      </c>
      <c r="DG175" s="24">
        <f t="shared" ca="1" si="159"/>
        <v>0.22182906913445843</v>
      </c>
      <c r="DI175" s="19" cm="1">
        <f t="array" aca="1" ref="DI175" ca="1">MAX(_xlfn._xlws.FILTER(CT175:DG175,CT175:DG175&lt;BP175))</f>
        <v>2.6097537545230403E-2</v>
      </c>
      <c r="DJ175" s="19" cm="1">
        <f t="array" aca="1" ref="DJ175" ca="1">MIN(_xlfn._xlws.FILTER(CT175:DG175,CT175:DG175&gt;BP175))</f>
        <v>4.9295348696546316E-2</v>
      </c>
      <c r="DK175" s="2" cm="1">
        <f t="array" aca="1" ref="DK175" ca="1">_FV(EH175,"Fechamento anterior",TRUE)</f>
        <v>21.89</v>
      </c>
      <c r="DL175" s="36">
        <f ca="1">(BJ175-DM175)/(DN175-DM175)</f>
        <v>0.70642938619477857</v>
      </c>
      <c r="DM175" s="18">
        <f t="shared" ca="1" si="160"/>
        <v>22.461275096865094</v>
      </c>
      <c r="DN175" s="18">
        <f t="shared" ca="1" si="161"/>
        <v>22.969075182967398</v>
      </c>
      <c r="DO175" s="9"/>
      <c r="DP175" s="9"/>
      <c r="DQ175" s="94">
        <v>4.716160909302965E-3</v>
      </c>
      <c r="DR175" s="94">
        <v>1.9235809891011174E-2</v>
      </c>
      <c r="DS175" s="94">
        <v>1.3898976559920768E-2</v>
      </c>
      <c r="DT175" s="94">
        <f t="shared" ca="1" si="137"/>
        <v>2.3197811151315913E-2</v>
      </c>
      <c r="DU175" s="87">
        <f ca="1">(BJ175-CF175)/(CF175-CE175)</f>
        <v>1.3227453627996126</v>
      </c>
      <c r="DV175" s="46"/>
      <c r="DW175" s="43">
        <f>_xlfn.STDEV.P(BF175:BI175)</f>
        <v>0.67662304867629153</v>
      </c>
      <c r="DX175" s="76">
        <f ca="1">BO175-$DT$2</f>
        <v>0.86959999999999993</v>
      </c>
      <c r="DY175" s="76">
        <f ca="1">BO175-BP175*100</f>
        <v>-2.3818000000000001</v>
      </c>
      <c r="DZ175" s="101"/>
      <c r="EA175" s="100">
        <v>-3.9080999999999997</v>
      </c>
      <c r="EB175" s="107">
        <v>-1.4113000000000007</v>
      </c>
      <c r="EC175" s="107">
        <v>1.6644000000000001</v>
      </c>
      <c r="ED175" s="98">
        <f t="shared" ca="1" si="138"/>
        <v>3.2514000000000003</v>
      </c>
      <c r="EE175" s="66"/>
      <c r="EF175" s="66"/>
      <c r="EH175" s="2" t="e" vm="177">
        <v>#VALUE!</v>
      </c>
      <c r="EJ175" s="10" cm="1">
        <f t="array" aca="1" ref="EJ175" ca="1">_FV(EH175,"Ações em circulação",TRUE)</f>
        <v>84909370</v>
      </c>
      <c r="EK175" s="21">
        <f>VLOOKUP(BK175,Fundamentus!A:U,5,FALSE)</f>
        <v>1.133</v>
      </c>
      <c r="EL175" s="2">
        <f ca="1">(BJ175*EJ175)/EK175</f>
        <v>1710178131.8623126</v>
      </c>
      <c r="EM175" s="20">
        <v>269367144.87825245</v>
      </c>
      <c r="EN175" s="20">
        <f t="shared" ca="1" si="139"/>
        <v>280811249.25179172</v>
      </c>
      <c r="EP175" s="19">
        <f t="shared" ca="1" si="134"/>
        <v>4.248515303791689E-2</v>
      </c>
      <c r="EQ175" s="40" t="str">
        <f>IF(VLOOKUP(BK175,Fundamentus!A:U,3,FALSE)&lt;15,"Bom",IF(VLOOKUP(BK175,Fundamentus!A:U,3,FALSE)&gt;15,"Ruim","n/a"))</f>
        <v>Bom</v>
      </c>
      <c r="ER175" s="36" t="str">
        <f>IF(VLOOKUP(BK175,Fundamentus!A:U,4,FALSE)&lt;1,"Baixo",IF(VLOOKUP(BK175,Fundamentus!A:U,4,FALSE)&lt;1.5,"Moderado",IF(VLOOKUP(BK175,Fundamentus!A:U,4,FALSE)&gt;1.5,"Alto","n/a")))</f>
        <v>Moderado</v>
      </c>
      <c r="ES175" s="20" t="str">
        <f>IF(VLOOKUP(BK175,Fundamentus!A:U,8,FALSE)&lt;0,"Risco elevado",IF(VLOOKUP(BK175,Fundamentus!A:U,8,FALSE)&lt;1,"Saudável",IF(VLOOKUP(BK175,Fundamentus!A:U,8,FALSE)&lt;3,"Estável",IF(VLOOKUP(BK175,Fundamentus!A:U,8,FALSE)&gt;3,"Alerta","n/a"))))</f>
        <v>Estável</v>
      </c>
      <c r="ET175" s="36" t="str">
        <f t="shared" si="140"/>
        <v>Bom</v>
      </c>
      <c r="EU175" s="20" t="str">
        <f>IF(VLOOKUP(BK175,Fundamentus!A:U,12,FALSE)&lt;2,"Subvalorizada",IF(VLOOKUP(BK175,Fundamentus!A:U,12,FALSE)&lt;6,"Muita barata",IF(VLOOKUP(BK175,Fundamentus!A:U,12,FALSE)&lt;6,"Barata",IF(VLOOKUP(BK175,Fundamentus!A:U,12,FALSE)&lt;8,"Atrativa",IF(VLOOKUP(BK175,Fundamentus!A:U,12,FALSE)&gt;8,"Supervalorizada","n/a")))))</f>
        <v>Atrativa</v>
      </c>
      <c r="EW175" s="20" t="str">
        <f>IF(VLOOKUP(BK175,Fundamentus!A:U,17,FALSE)&lt;0.1,"Fraco retorno",IF(VLOOKUP(BK175,Fundamentus!A:U,17,FALSE)&gt;0.1,"Bom retorno","n/a"))</f>
        <v>Bom retorno</v>
      </c>
      <c r="EX175" s="20" t="str">
        <f>IF(VLOOKUP(BK175,Fundamentus!A:U,16,FALSE)&lt;0.1,"Ineficiente",IF(VLOOKUP(BK175,Fundamentus!A:U,16,FALSE)&gt;0.1,"Eficiente","n/a"))</f>
        <v>Ineficiente</v>
      </c>
      <c r="EY175" s="41" t="str">
        <f>IF(VLOOKUP(BK175,Fundamentus!A:U,16,FALSE)&lt;0.1,"Oper. Ineficiente",IF(VLOOKUP(BK175,Fundamentus!A:U,16,FALSE)&gt;0.1,"Oper.Eficiente","n/a"))</f>
        <v>Oper. Ineficiente</v>
      </c>
      <c r="EZ175" s="42">
        <f>VLOOKUP(BK175,Fundamentus!A:U,14,FALSE)</f>
        <v>0.16420000000000001</v>
      </c>
      <c r="FA175" s="20" t="str">
        <f>IF(VLOOKUP(BK175,Fundamentus!A:U,21,FALSE)&lt;0,"Negativo",IF(VLOOKUP(BK175,Fundamentus!A:U,21,FALSE)&lt;0.05,"Fraco",IF(VLOOKUP(BK175,Fundamentus!A:U,21,FALSE)&lt;0.1,"Bom",IF(VLOOKUP(BK175,Fundamentus!A:U,21,FALSE)&gt;0.1,"Muito bom","n/a"))))</f>
        <v>Muito bom</v>
      </c>
      <c r="FC175" s="37" t="str">
        <f>IF(VLOOKUP(BK175,Fundamentus!A:U,15,FALSE)&gt;1,"Bom",IF(VLOOKUP(BK175,Fundamentus!A:U,15,FALSE)&lt;1,"Ruim","n/a"))</f>
        <v>Bom</v>
      </c>
      <c r="FD175" s="20" t="str">
        <f>IF(VLOOKUP(BK175,Fundamentus!A:U,20,FALSE)&lt;0.5,"Baixa",IF(VLOOKUP(BK175,Fundamentus!A:U,20,FALSE)&lt;1,"Moderada",IF(VLOOKUP(BK175,Fundamentus!A:U,20,FALSE)&lt;2,"Alerta",IF(VLOOKUP(BK175,Fundamentus!A:U,20,FALSE)&gt;2,"Alta","n/a"))))</f>
        <v>Baixa</v>
      </c>
      <c r="FE175" s="10"/>
    </row>
    <row r="176" spans="1:161" s="2" customFormat="1" ht="11.25" hidden="1"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8">
        <v>1.55</v>
      </c>
      <c r="BC176" s="62">
        <v>1.45</v>
      </c>
      <c r="BD176" s="62">
        <v>1.17</v>
      </c>
      <c r="BE176" s="62">
        <v>1.1599999999999999</v>
      </c>
      <c r="BF176" s="62">
        <v>1.03</v>
      </c>
      <c r="BG176" s="81">
        <v>0.98</v>
      </c>
      <c r="BH176" s="62">
        <v>1.02</v>
      </c>
      <c r="BI176" s="62">
        <v>0.96</v>
      </c>
      <c r="BJ176" s="62" cm="1">
        <f t="array" aca="1" ref="BJ176" ca="1">_FV(EH176,"Preço")</f>
        <v>0.97</v>
      </c>
      <c r="BK176" s="83" t="s">
        <v>172</v>
      </c>
      <c r="BL176" s="44" cm="1">
        <f t="array" aca="1" ref="BL176" ca="1">_FV(EH176,"Média de volume",TRUE)</f>
        <v>2509250</v>
      </c>
      <c r="BM176" s="44">
        <v>2831100</v>
      </c>
      <c r="BN176" s="44" cm="1">
        <f t="array" aca="1" ref="BN176" ca="1">_FV(EH176,"Volume")</f>
        <v>2240900</v>
      </c>
      <c r="BO176" s="32" cm="1">
        <f t="array" aca="1" ref="BO176" ca="1">_FV(EH176,"Beta")</f>
        <v>1.3727</v>
      </c>
      <c r="BP176" s="86" cm="1">
        <f t="array" aca="1" ref="BP176" ca="1">_FV(EH176,"Variação (%)",TRUE)</f>
        <v>1.0417000000000001E-2</v>
      </c>
      <c r="BQ176" s="48"/>
      <c r="BR176" s="48"/>
      <c r="BT176" s="20" cm="1">
        <f t="array" aca="1" ref="BT176" ca="1">_FV(EH176,"Baixo")</f>
        <v>0.94</v>
      </c>
      <c r="BU176" s="20" cm="1">
        <f t="array" aca="1" ref="BU176" ca="1">_FV(EH176,"Alto")</f>
        <v>0.99</v>
      </c>
      <c r="BV176" s="32"/>
      <c r="BW176" s="73">
        <f ca="1">SQRT(22.5*(BJ176/VLOOKUP(BK176,Fundamentus!A:U,3,FALSE))*(BJ176/VLOOKUP(BK176,Fundamentus!A:U,4,FALSE)))</f>
        <v>2.8315754042242287</v>
      </c>
      <c r="BY176" s="72">
        <f t="shared" ca="1" si="135"/>
        <v>1.0416666666666676E-2</v>
      </c>
      <c r="BZ176" s="8"/>
      <c r="CA176" s="71">
        <f t="shared" si="143"/>
        <v>0.37</v>
      </c>
      <c r="CB176" s="71">
        <f t="shared" si="136"/>
        <v>2.0499999999999998</v>
      </c>
      <c r="CC176" s="71">
        <f t="shared" si="144"/>
        <v>1.0970491803278686</v>
      </c>
      <c r="CD176" s="17"/>
      <c r="CE176" s="43">
        <f t="shared" si="141"/>
        <v>0.89777238428870021</v>
      </c>
      <c r="CF176" s="18">
        <f>FORECAST("04/07/2025", BF176:BI176, $BF$5:$BI$5)</f>
        <v>0.95499999999999829</v>
      </c>
      <c r="CG176" s="43">
        <f t="shared" si="142"/>
        <v>1.0122276157112964</v>
      </c>
      <c r="CI176" s="17"/>
      <c r="CJ176" s="20">
        <f>CA176-2*(CB176-CM176)</f>
        <v>-1.4766666666666661</v>
      </c>
      <c r="CK176" s="20">
        <f>CM176-(CB176-CA176)</f>
        <v>-0.55333333333333301</v>
      </c>
      <c r="CL176" s="20">
        <f>2*CM176-CB176</f>
        <v>0.20333333333333359</v>
      </c>
      <c r="CM176" s="48">
        <f>(CB176+CA176+BI176)/3</f>
        <v>1.1266666666666667</v>
      </c>
      <c r="CN176" s="20">
        <f>2*CM176-CA176</f>
        <v>1.8833333333333333</v>
      </c>
      <c r="CO176" s="20">
        <f>CM176+(CB176-CA176)</f>
        <v>2.8066666666666666</v>
      </c>
      <c r="CP176" s="20">
        <f>CB176+2*(CM176-CA176)</f>
        <v>3.5633333333333335</v>
      </c>
      <c r="CQ176" s="2" cm="1">
        <f t="array" aca="1" ref="CQ176" ca="1">MAX(_xlfn._xlws.FILTER(CJ176:CP176,CJ176:CP176&lt;BJ176))</f>
        <v>0.20333333333333359</v>
      </c>
      <c r="CR176" s="2" cm="1">
        <f t="array" aca="1" ref="CR176" ca="1">MIN(_xlfn._xlws.FILTER($CJ176:$CP176,$CJ176:$CP176&gt;BJ176))</f>
        <v>1.1266666666666667</v>
      </c>
      <c r="CS176" s="19">
        <f t="shared" ca="1" si="145"/>
        <v>4.5409836065573703</v>
      </c>
      <c r="CT176" s="23">
        <f t="shared" ca="1" si="146"/>
        <v>-2.2704918032786852</v>
      </c>
      <c r="CU176" s="23">
        <f t="shared" ca="1" si="147"/>
        <v>-1.51366120218579</v>
      </c>
      <c r="CV176" s="23">
        <f t="shared" ca="1" si="148"/>
        <v>-0.90819672131147411</v>
      </c>
      <c r="CW176" s="23">
        <f t="shared" ca="1" si="149"/>
        <v>-0.50455373406193005</v>
      </c>
      <c r="CX176" s="23">
        <f t="shared" ca="1" si="150"/>
        <v>-0.26711668273866884</v>
      </c>
      <c r="CY176" s="23">
        <f t="shared" ca="1" si="151"/>
        <v>-0.13760556383507183</v>
      </c>
      <c r="CZ176" s="23">
        <f t="shared" ca="1" si="152"/>
        <v>-6.9861286254728774E-2</v>
      </c>
      <c r="DA176" s="24">
        <f t="shared" ca="1" si="153"/>
        <v>6.9861286254728774E-2</v>
      </c>
      <c r="DB176" s="24">
        <f t="shared" ca="1" si="154"/>
        <v>0.13760556383507183</v>
      </c>
      <c r="DC176" s="24">
        <f t="shared" ca="1" si="155"/>
        <v>0.26711668273866884</v>
      </c>
      <c r="DD176" s="24">
        <f t="shared" ca="1" si="156"/>
        <v>0.50455373406193005</v>
      </c>
      <c r="DE176" s="24">
        <f t="shared" ca="1" si="157"/>
        <v>0.90819672131147411</v>
      </c>
      <c r="DF176" s="24">
        <f t="shared" ca="1" si="158"/>
        <v>1.51366120218579</v>
      </c>
      <c r="DG176" s="24">
        <f t="shared" ca="1" si="159"/>
        <v>2.2704918032786852</v>
      </c>
      <c r="DI176" s="19" cm="1">
        <f t="array" aca="1" ref="DI176" ca="1">MAX(_xlfn._xlws.FILTER(CT176:DG176,CT176:DG176&lt;BP176))</f>
        <v>-6.9861286254728774E-2</v>
      </c>
      <c r="DJ176" s="19" cm="1">
        <f t="array" aca="1" ref="DJ176" ca="1">MIN(_xlfn._xlws.FILTER(CT176:DG176,CT176:DG176&gt;BP176))</f>
        <v>6.9861286254728774E-2</v>
      </c>
      <c r="DK176" s="2" cm="1">
        <f t="array" aca="1" ref="DK176" ca="1">_FV(EH176,"Fechamento anterior",TRUE)</f>
        <v>0.96</v>
      </c>
      <c r="DL176" s="36">
        <f ca="1">(BJ176-DM176)/(DN176-DM176)</f>
        <v>0.57455249699157662</v>
      </c>
      <c r="DM176" s="18">
        <f t="shared" ca="1" si="160"/>
        <v>0.8929331651954604</v>
      </c>
      <c r="DN176" s="18">
        <f t="shared" ca="1" si="161"/>
        <v>1.0270668348045395</v>
      </c>
      <c r="DO176" s="9"/>
      <c r="DP176" s="9"/>
      <c r="DQ176" s="94">
        <v>3.2411137971170206E-2</v>
      </c>
      <c r="DR176" s="94">
        <v>5.5098934550989367E-2</v>
      </c>
      <c r="DS176" s="94">
        <v>0.13017751479289932</v>
      </c>
      <c r="DT176" s="94">
        <f t="shared" ca="1" si="137"/>
        <v>0.13972257250945755</v>
      </c>
      <c r="DU176" s="87">
        <f ca="1">(BJ176-CF176)/(CF176-CE176)</f>
        <v>0.26211121699834028</v>
      </c>
      <c r="DV176" s="46"/>
      <c r="DW176" s="43">
        <f>_xlfn.STDEV.P(BF176:BI176)</f>
        <v>2.8613807855649018E-2</v>
      </c>
      <c r="DX176" s="76">
        <f ca="1">BO176-$DT$2</f>
        <v>0.37559999999999993</v>
      </c>
      <c r="DY176" s="76">
        <f ca="1">BO176-BP176*100</f>
        <v>0.33099999999999996</v>
      </c>
      <c r="DZ176" s="101"/>
      <c r="EA176" s="100">
        <v>0.29869999999999997</v>
      </c>
      <c r="EB176" s="107">
        <v>0.27099999999999991</v>
      </c>
      <c r="EC176" s="107">
        <v>0.18090000000000006</v>
      </c>
      <c r="ED176" s="98">
        <f t="shared" ca="1" si="138"/>
        <v>4.4599999999999973E-2</v>
      </c>
      <c r="EE176" s="66"/>
      <c r="EF176" s="66"/>
      <c r="EH176" s="2" t="e" vm="178">
        <v>#VALUE!</v>
      </c>
      <c r="EJ176" s="10" cm="1">
        <f t="array" aca="1" ref="EJ176" ca="1">_FV(EH176,"Ações em circulação",TRUE)</f>
        <v>31822290</v>
      </c>
      <c r="EK176" s="21">
        <f>VLOOKUP(BK176,Fundamentus!A:U,5,FALSE)</f>
        <v>2.86</v>
      </c>
      <c r="EL176" s="2">
        <f ca="1">(BJ176*EJ176)/EK176</f>
        <v>10792874.580419581</v>
      </c>
      <c r="EM176" s="20">
        <v>-19935084.697174825</v>
      </c>
      <c r="EN176" s="20">
        <f t="shared" ca="1" si="139"/>
        <v>-20142741.829437066</v>
      </c>
      <c r="EP176" s="19">
        <f t="shared" ca="1" si="134"/>
        <v>1.0416666666666741E-2</v>
      </c>
      <c r="EQ176" s="40" t="str">
        <f>IF(VLOOKUP(BK176,Fundamentus!A:U,3,FALSE)&lt;15,"Bom",IF(VLOOKUP(BK176,Fundamentus!A:U,3,FALSE)&gt;15,"Ruim","n/a"))</f>
        <v>Bom</v>
      </c>
      <c r="ER176" s="36" t="str">
        <f>IF(VLOOKUP(BK176,Fundamentus!A:U,4,FALSE)&lt;1,"Baixo",IF(VLOOKUP(BK176,Fundamentus!A:U,4,FALSE)&lt;1.5,"Moderado",IF(VLOOKUP(BK176,Fundamentus!A:U,4,FALSE)&gt;1.5,"Alto","n/a")))</f>
        <v>Baixo</v>
      </c>
      <c r="ES176" s="20" t="str">
        <f>IF(VLOOKUP(BK176,Fundamentus!A:U,8,FALSE)&lt;0,"Risco elevado",IF(VLOOKUP(BK176,Fundamentus!A:U,8,FALSE)&lt;1,"Saudável",IF(VLOOKUP(BK176,Fundamentus!A:U,8,FALSE)&lt;3,"Estável",IF(VLOOKUP(BK176,Fundamentus!A:U,8,FALSE)&gt;3,"Alerta","n/a"))))</f>
        <v>Risco elevado</v>
      </c>
      <c r="ET176" s="36" t="str">
        <f t="shared" si="140"/>
        <v>Bom</v>
      </c>
      <c r="EU176" s="20" t="str">
        <f>IF(VLOOKUP(BK176,Fundamentus!A:U,12,FALSE)&lt;2,"Subvalorizada",IF(VLOOKUP(BK176,Fundamentus!A:U,12,FALSE)&lt;6,"Muita barata",IF(VLOOKUP(BK176,Fundamentus!A:U,12,FALSE)&lt;6,"Barata",IF(VLOOKUP(BK176,Fundamentus!A:U,12,FALSE)&lt;8,"Atrativa",IF(VLOOKUP(BK176,Fundamentus!A:U,12,FALSE)&gt;8,"Supervalorizada","n/a")))))</f>
        <v>Subvalorizada</v>
      </c>
      <c r="EW176" s="20" t="str">
        <f>IF(VLOOKUP(BK176,Fundamentus!A:U,17,FALSE)&lt;0.1,"Fraco retorno",IF(VLOOKUP(BK176,Fundamentus!A:U,17,FALSE)&gt;0.1,"Bom retorno","n/a"))</f>
        <v>Bom retorno</v>
      </c>
      <c r="EX176" s="20" t="str">
        <f>IF(VLOOKUP(BK176,Fundamentus!A:U,16,FALSE)&lt;0.1,"Ineficiente",IF(VLOOKUP(BK176,Fundamentus!A:U,16,FALSE)&gt;0.1,"Eficiente","n/a"))</f>
        <v>Ineficiente</v>
      </c>
      <c r="EY176" s="41" t="str">
        <f>IF(VLOOKUP(BK176,Fundamentus!A:U,16,FALSE)&lt;0.1,"Oper. Ineficiente",IF(VLOOKUP(BK176,Fundamentus!A:U,16,FALSE)&gt;0.1,"Oper.Eficiente","n/a"))</f>
        <v>Oper. Ineficiente</v>
      </c>
      <c r="EZ176" s="42">
        <f>VLOOKUP(BK176,Fundamentus!A:U,14,FALSE)</f>
        <v>-1.8663000000000001</v>
      </c>
      <c r="FA176" s="20" t="str">
        <f>IF(VLOOKUP(BK176,Fundamentus!A:U,21,FALSE)&lt;0,"Negativo",IF(VLOOKUP(BK176,Fundamentus!A:U,21,FALSE)&lt;0.05,"Fraco",IF(VLOOKUP(BK176,Fundamentus!A:U,21,FALSE)&lt;0.1,"Bom",IF(VLOOKUP(BK176,Fundamentus!A:U,21,FALSE)&gt;0.1,"Muito bom","n/a"))))</f>
        <v>Negativo</v>
      </c>
      <c r="FC176" s="37" t="str">
        <f>IF(VLOOKUP(BK176,Fundamentus!A:U,15,FALSE)&gt;1,"Bom",IF(VLOOKUP(BK176,Fundamentus!A:U,15,FALSE)&lt;1,"Ruim","n/a"))</f>
        <v>Ruim</v>
      </c>
      <c r="FD176" s="20" t="str">
        <f>IF(VLOOKUP(BK176,Fundamentus!A:U,20,FALSE)&lt;0.5,"Baixa",IF(VLOOKUP(BK176,Fundamentus!A:U,20,FALSE)&lt;1,"Moderada",IF(VLOOKUP(BK176,Fundamentus!A:U,20,FALSE)&lt;2,"Alerta",IF(VLOOKUP(BK176,Fundamentus!A:U,20,FALSE)&gt;2,"Alta","n/a"))))</f>
        <v>Baixa</v>
      </c>
      <c r="FE176" s="10"/>
    </row>
    <row r="177" spans="1:161" s="2" customFormat="1" ht="11.25" hidden="1"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8">
        <v>4.28</v>
      </c>
      <c r="BC177" s="62">
        <v>4.1100000000000003</v>
      </c>
      <c r="BD177" s="62">
        <v>4.07</v>
      </c>
      <c r="BE177" s="62">
        <v>4.04</v>
      </c>
      <c r="BF177" s="62">
        <v>4.05</v>
      </c>
      <c r="BG177" s="81">
        <v>4</v>
      </c>
      <c r="BH177" s="62">
        <v>4.0999999999999996</v>
      </c>
      <c r="BI177" s="62">
        <v>3.99</v>
      </c>
      <c r="BJ177" s="62" cm="1">
        <f t="array" aca="1" ref="BJ177" ca="1">_FV(EH177,"Preço")</f>
        <v>3.99</v>
      </c>
      <c r="BK177" s="83" t="s">
        <v>173</v>
      </c>
      <c r="BL177" s="44" cm="1">
        <f t="array" aca="1" ref="BL177" ca="1">_FV(EH177,"Média de volume",TRUE)</f>
        <v>12260</v>
      </c>
      <c r="BM177" s="44">
        <v>27900</v>
      </c>
      <c r="BN177" s="44" cm="1">
        <f t="array" aca="1" ref="BN177" ca="1">_FV(EH177,"Volume")</f>
        <v>1300</v>
      </c>
      <c r="BO177" s="32" cm="1">
        <f t="array" aca="1" ref="BO177" ca="1">_FV(EH177,"Beta")</f>
        <v>1.7922</v>
      </c>
      <c r="BP177" s="86" cm="1">
        <f t="array" aca="1" ref="BP177" ca="1">_FV(EH177,"Variação (%)",TRUE)</f>
        <v>0</v>
      </c>
      <c r="BQ177" s="48"/>
      <c r="BR177" s="48"/>
      <c r="BT177" s="20" cm="1">
        <f t="array" aca="1" ref="BT177" ca="1">_FV(EH177,"Baixo")</f>
        <v>3.99</v>
      </c>
      <c r="BU177" s="20" cm="1">
        <f t="array" aca="1" ref="BU177" ca="1">_FV(EH177,"Alto")</f>
        <v>4.01</v>
      </c>
      <c r="BV177" s="32"/>
      <c r="BW177" s="73">
        <f ca="1">SQRT(22.5*(BJ177/VLOOKUP(BK177,Fundamentus!A:U,3,FALSE))*(BJ177/VLOOKUP(BK177,Fundamentus!A:U,4,FALSE)))</f>
        <v>14.703783916662061</v>
      </c>
      <c r="BY177" s="72">
        <f t="shared" ca="1" si="135"/>
        <v>0</v>
      </c>
      <c r="BZ177" s="8"/>
      <c r="CA177" s="71">
        <f t="shared" si="143"/>
        <v>3.68</v>
      </c>
      <c r="CB177" s="71">
        <f t="shared" si="136"/>
        <v>6.91</v>
      </c>
      <c r="CC177" s="71">
        <f t="shared" si="144"/>
        <v>4.757131147540985</v>
      </c>
      <c r="CD177" s="17"/>
      <c r="CE177" s="43">
        <f t="shared" si="141"/>
        <v>3.9272503561260725</v>
      </c>
      <c r="CF177" s="18">
        <f>FORECAST("04/07/2025", BF177:BI177, $BF$5:$BI$5)</f>
        <v>4.0149999999999935</v>
      </c>
      <c r="CG177" s="43">
        <f t="shared" si="142"/>
        <v>4.1027496438739144</v>
      </c>
      <c r="CI177" s="17"/>
      <c r="CJ177" s="20">
        <f>CA177-2*(CB177-CM177)</f>
        <v>-0.41999999999999948</v>
      </c>
      <c r="CK177" s="20">
        <f>CM177-(CB177-CA177)</f>
        <v>1.6300000000000003</v>
      </c>
      <c r="CL177" s="20">
        <f>2*CM177-CB177</f>
        <v>2.8100000000000005</v>
      </c>
      <c r="CM177" s="48">
        <f>(CB177+CA177+BI177)/3</f>
        <v>4.8600000000000003</v>
      </c>
      <c r="CN177" s="20">
        <f>2*CM177-CA177</f>
        <v>6.0400000000000009</v>
      </c>
      <c r="CO177" s="20">
        <f>CM177+(CB177-CA177)</f>
        <v>8.09</v>
      </c>
      <c r="CP177" s="20">
        <f>CB177+2*(CM177-CA177)</f>
        <v>9.27</v>
      </c>
      <c r="CQ177" s="2" cm="1">
        <f t="array" aca="1" ref="CQ177" ca="1">MAX(_xlfn._xlws.FILTER(CJ177:CP177,CJ177:CP177&lt;BJ177))</f>
        <v>2.8100000000000005</v>
      </c>
      <c r="CR177" s="2" cm="1">
        <f t="array" aca="1" ref="CR177" ca="1">MIN(_xlfn._xlws.FILTER($CJ177:$CP177,$CJ177:$CP177&gt;BJ177))</f>
        <v>4.8600000000000003</v>
      </c>
      <c r="CS177" s="19">
        <f t="shared" ca="1" si="145"/>
        <v>0.72953736654804247</v>
      </c>
      <c r="CT177" s="23">
        <f t="shared" ca="1" si="146"/>
        <v>-0.36476868327402123</v>
      </c>
      <c r="CU177" s="23">
        <f t="shared" ca="1" si="147"/>
        <v>-0.24317912218268081</v>
      </c>
      <c r="CV177" s="23">
        <f t="shared" ca="1" si="148"/>
        <v>-0.14590747330960849</v>
      </c>
      <c r="CW177" s="23">
        <f t="shared" ca="1" si="149"/>
        <v>-8.1059707394226937E-2</v>
      </c>
      <c r="CX177" s="23">
        <f t="shared" ca="1" si="150"/>
        <v>-4.2913962738120148E-2</v>
      </c>
      <c r="CY177" s="23">
        <f t="shared" ca="1" si="151"/>
        <v>-2.2107192925698255E-2</v>
      </c>
      <c r="CZ177" s="23">
        <f t="shared" ca="1" si="152"/>
        <v>-1.1223651793046806E-2</v>
      </c>
      <c r="DA177" s="24">
        <f t="shared" ca="1" si="153"/>
        <v>1.1223651793046806E-2</v>
      </c>
      <c r="DB177" s="24">
        <f t="shared" ca="1" si="154"/>
        <v>2.2107192925698255E-2</v>
      </c>
      <c r="DC177" s="24">
        <f t="shared" ca="1" si="155"/>
        <v>4.2913962738120148E-2</v>
      </c>
      <c r="DD177" s="24">
        <f t="shared" ca="1" si="156"/>
        <v>8.1059707394226937E-2</v>
      </c>
      <c r="DE177" s="24">
        <f t="shared" ca="1" si="157"/>
        <v>0.14590747330960849</v>
      </c>
      <c r="DF177" s="24">
        <f t="shared" ca="1" si="158"/>
        <v>0.24317912218268081</v>
      </c>
      <c r="DG177" s="24">
        <f t="shared" ca="1" si="159"/>
        <v>0.36476868327402123</v>
      </c>
      <c r="DI177" s="19" cm="1">
        <f t="array" aca="1" ref="DI177" ca="1">MAX(_xlfn._xlws.FILTER(CT177:DG177,CT177:DG177&lt;BP177))</f>
        <v>-1.1223651793046806E-2</v>
      </c>
      <c r="DJ177" s="19" cm="1">
        <f t="array" aca="1" ref="DJ177" ca="1">MIN(_xlfn._xlws.FILTER(CT177:DG177,CT177:DG177&gt;BP177))</f>
        <v>1.1223651793046806E-2</v>
      </c>
      <c r="DK177" s="2" cm="1">
        <f t="array" aca="1" ref="DK177" ca="1">_FV(EH177,"Fechamento anterior",TRUE)</f>
        <v>3.99</v>
      </c>
      <c r="DL177" s="36">
        <f ca="1">(BJ177-DM177)/(DN177-DM177)</f>
        <v>0.4999999999999975</v>
      </c>
      <c r="DM177" s="18">
        <f t="shared" ca="1" si="160"/>
        <v>3.9452176293457435</v>
      </c>
      <c r="DN177" s="18">
        <f t="shared" ca="1" si="161"/>
        <v>4.0347823706542574</v>
      </c>
      <c r="DO177" s="9"/>
      <c r="DP177" s="9"/>
      <c r="DQ177" s="94">
        <v>2.394005501280471E-2</v>
      </c>
      <c r="DR177" s="94">
        <v>2.394005501280471E-2</v>
      </c>
      <c r="DS177" s="94">
        <v>2.235776058261266E-2</v>
      </c>
      <c r="DT177" s="94">
        <f t="shared" ca="1" si="137"/>
        <v>2.2447303586093613E-2</v>
      </c>
      <c r="DU177" s="87">
        <f ca="1">(BJ177-CF177)/(CF177-CE177)</f>
        <v>-0.28490144114901889</v>
      </c>
      <c r="DV177" s="46"/>
      <c r="DW177" s="43">
        <f>_xlfn.STDEV.P(BF177:BI177)</f>
        <v>4.3874821936960406E-2</v>
      </c>
      <c r="DX177" s="76">
        <f ca="1">BO177-$DT$2</f>
        <v>0.79509999999999992</v>
      </c>
      <c r="DY177" s="76">
        <f ca="1">BO177-BP177*100</f>
        <v>1.7922</v>
      </c>
      <c r="DZ177" s="101"/>
      <c r="EA177" s="100">
        <v>-0.93889999999999985</v>
      </c>
      <c r="EB177" s="107">
        <v>3.9988000000000001</v>
      </c>
      <c r="EC177" s="107">
        <v>-6.9100000000000161E-2</v>
      </c>
      <c r="ED177" s="98">
        <f t="shared" ca="1" si="138"/>
        <v>-0.9971000000000001</v>
      </c>
      <c r="EE177" s="66"/>
      <c r="EF177" s="66"/>
      <c r="EH177" s="2" t="e" vm="179">
        <v>#VALUE!</v>
      </c>
      <c r="EJ177" s="10" cm="1">
        <f t="array" aca="1" ref="EJ177" ca="1">_FV(EH177,"Ações em circulação",TRUE)</f>
        <v>44000000</v>
      </c>
      <c r="EK177" s="21">
        <f>VLOOKUP(BK177,Fundamentus!A:U,5,FALSE)</f>
        <v>0.13600000000000001</v>
      </c>
      <c r="EL177" s="2">
        <f ca="1">(BJ177*EJ177)/EK177</f>
        <v>1290882352.9411764</v>
      </c>
      <c r="EM177" s="20">
        <v>387264.70588235289</v>
      </c>
      <c r="EN177" s="20">
        <f t="shared" ca="1" si="139"/>
        <v>387264.70588235289</v>
      </c>
      <c r="EP177" s="19">
        <f t="shared" ca="1" si="134"/>
        <v>0</v>
      </c>
      <c r="EQ177" s="40" t="str">
        <f>IF(VLOOKUP(BK177,Fundamentus!A:U,3,FALSE)&lt;15,"Bom",IF(VLOOKUP(BK177,Fundamentus!A:U,3,FALSE)&gt;15,"Ruim","n/a"))</f>
        <v>Bom</v>
      </c>
      <c r="ER177" s="36" t="str">
        <f>IF(VLOOKUP(BK177,Fundamentus!A:U,4,FALSE)&lt;1,"Baixo",IF(VLOOKUP(BK177,Fundamentus!A:U,4,FALSE)&lt;1.5,"Moderado",IF(VLOOKUP(BK177,Fundamentus!A:U,4,FALSE)&gt;1.5,"Alto","n/a")))</f>
        <v>Baixo</v>
      </c>
      <c r="ES177" s="20" t="str">
        <f>IF(VLOOKUP(BK177,Fundamentus!A:U,8,FALSE)&lt;0,"Risco elevado",IF(VLOOKUP(BK177,Fundamentus!A:U,8,FALSE)&lt;1,"Saudável",IF(VLOOKUP(BK177,Fundamentus!A:U,8,FALSE)&lt;3,"Estável",IF(VLOOKUP(BK177,Fundamentus!A:U,8,FALSE)&gt;3,"Alerta","n/a"))))</f>
        <v>Risco elevado</v>
      </c>
      <c r="ET177" s="36" t="str">
        <f t="shared" si="140"/>
        <v>Ruim</v>
      </c>
      <c r="EU177" s="20" t="str">
        <f>IF(VLOOKUP(BK177,Fundamentus!A:U,12,FALSE)&lt;2,"Subvalorizada",IF(VLOOKUP(BK177,Fundamentus!A:U,12,FALSE)&lt;6,"Muita barata",IF(VLOOKUP(BK177,Fundamentus!A:U,12,FALSE)&lt;6,"Barata",IF(VLOOKUP(BK177,Fundamentus!A:U,12,FALSE)&lt;8,"Atrativa",IF(VLOOKUP(BK177,Fundamentus!A:U,12,FALSE)&gt;8,"Supervalorizada","n/a")))))</f>
        <v>Muita barata</v>
      </c>
      <c r="EW177" s="20" t="str">
        <f>IF(VLOOKUP(BK177,Fundamentus!A:U,17,FALSE)&lt;0.1,"Fraco retorno",IF(VLOOKUP(BK177,Fundamentus!A:U,17,FALSE)&gt;0.1,"Bom retorno","n/a"))</f>
        <v>Fraco retorno</v>
      </c>
      <c r="EX177" s="20" t="str">
        <f>IF(VLOOKUP(BK177,Fundamentus!A:U,16,FALSE)&lt;0.1,"Ineficiente",IF(VLOOKUP(BK177,Fundamentus!A:U,16,FALSE)&gt;0.1,"Eficiente","n/a"))</f>
        <v>Ineficiente</v>
      </c>
      <c r="EY177" s="41" t="str">
        <f>IF(VLOOKUP(BK177,Fundamentus!A:U,16,FALSE)&lt;0.1,"Oper. Ineficiente",IF(VLOOKUP(BK177,Fundamentus!A:U,16,FALSE)&gt;0.1,"Oper.Eficiente","n/a"))</f>
        <v>Oper. Ineficiente</v>
      </c>
      <c r="EZ177" s="42">
        <f>VLOOKUP(BK177,Fundamentus!A:U,14,FALSE)</f>
        <v>2.9999999999999997E-4</v>
      </c>
      <c r="FA177" s="20" t="str">
        <f>IF(VLOOKUP(BK177,Fundamentus!A:U,21,FALSE)&lt;0,"Negativo",IF(VLOOKUP(BK177,Fundamentus!A:U,21,FALSE)&lt;0.05,"Fraco",IF(VLOOKUP(BK177,Fundamentus!A:U,21,FALSE)&lt;0.1,"Bom",IF(VLOOKUP(BK177,Fundamentus!A:U,21,FALSE)&gt;0.1,"Muito bom","n/a"))))</f>
        <v>Bom</v>
      </c>
      <c r="FC177" s="37" t="str">
        <f>IF(VLOOKUP(BK177,Fundamentus!A:U,15,FALSE)&gt;1,"Bom",IF(VLOOKUP(BK177,Fundamentus!A:U,15,FALSE)&lt;1,"Ruim","n/a"))</f>
        <v>Ruim</v>
      </c>
      <c r="FD177" s="20" t="str">
        <f>IF(VLOOKUP(BK177,Fundamentus!A:U,20,FALSE)&lt;0.5,"Baixa",IF(VLOOKUP(BK177,Fundamentus!A:U,20,FALSE)&lt;1,"Moderada",IF(VLOOKUP(BK177,Fundamentus!A:U,20,FALSE)&lt;2,"Alerta",IF(VLOOKUP(BK177,Fundamentus!A:U,20,FALSE)&gt;2,"Alta","n/a"))))</f>
        <v>Alerta</v>
      </c>
      <c r="FE177" s="10"/>
    </row>
    <row r="178" spans="1:161" s="2" customFormat="1" ht="11.25" hidden="1"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8">
        <v>7.84</v>
      </c>
      <c r="BC178" s="62">
        <v>7.8</v>
      </c>
      <c r="BD178" s="62">
        <v>7.77</v>
      </c>
      <c r="BE178" s="62">
        <v>7.7</v>
      </c>
      <c r="BF178" s="62">
        <v>7.22</v>
      </c>
      <c r="BG178" s="81">
        <v>7.18</v>
      </c>
      <c r="BH178" s="62">
        <v>7.13</v>
      </c>
      <c r="BI178" s="62">
        <v>6.82</v>
      </c>
      <c r="BJ178" s="62" cm="1">
        <f t="array" aca="1" ref="BJ178" ca="1">_FV(EH178,"Preço")</f>
        <v>6.9</v>
      </c>
      <c r="BK178" s="83" t="s">
        <v>174</v>
      </c>
      <c r="BL178" s="44" cm="1">
        <f t="array" aca="1" ref="BL178" ca="1">_FV(EH178,"Média de volume",TRUE)</f>
        <v>233660</v>
      </c>
      <c r="BM178" s="44">
        <v>237400</v>
      </c>
      <c r="BN178" s="44" cm="1">
        <f t="array" aca="1" ref="BN178" ca="1">_FV(EH178,"Volume")</f>
        <v>116800</v>
      </c>
      <c r="BO178" s="32" cm="1">
        <f t="array" aca="1" ref="BO178" ca="1">_FV(EH178,"Beta")</f>
        <v>1.0967</v>
      </c>
      <c r="BP178" s="86" cm="1">
        <f t="array" aca="1" ref="BP178" ca="1">_FV(EH178,"Variação (%)",TRUE)</f>
        <v>1.1730000000000001E-2</v>
      </c>
      <c r="BQ178" s="48"/>
      <c r="BR178" s="48"/>
      <c r="BT178" s="20" cm="1">
        <f t="array" aca="1" ref="BT178" ca="1">_FV(EH178,"Baixo")</f>
        <v>6.83</v>
      </c>
      <c r="BU178" s="20" cm="1">
        <f t="array" aca="1" ref="BU178" ca="1">_FV(EH178,"Alto")</f>
        <v>6.93</v>
      </c>
      <c r="BV178" s="32"/>
      <c r="BW178" s="73">
        <f ca="1">SQRT(22.5*(BJ178/VLOOKUP(BK178,Fundamentus!A:U,3,FALSE))*(BJ178/VLOOKUP(BK178,Fundamentus!A:U,4,FALSE)))</f>
        <v>10.170105504337396</v>
      </c>
      <c r="BY178" s="72">
        <f t="shared" ca="1" si="135"/>
        <v>1.1730205278592386E-2</v>
      </c>
      <c r="BZ178" s="8"/>
      <c r="CA178" s="71">
        <f t="shared" si="143"/>
        <v>6.82</v>
      </c>
      <c r="CB178" s="71">
        <f t="shared" si="136"/>
        <v>12.53</v>
      </c>
      <c r="CC178" s="71">
        <f t="shared" si="144"/>
        <v>9.5189344262295119</v>
      </c>
      <c r="CD178" s="17"/>
      <c r="CE178" s="43">
        <f t="shared" si="141"/>
        <v>6.4596034242417746</v>
      </c>
      <c r="CF178" s="18">
        <f>FORECAST("04/07/2025", BF178:BI178, $BF$5:$BI$5)</f>
        <v>6.7749999999999773</v>
      </c>
      <c r="CG178" s="43">
        <f t="shared" si="142"/>
        <v>7.0903965757581799</v>
      </c>
      <c r="CI178" s="17"/>
      <c r="CJ178" s="20">
        <f>CA178-2*(CB178-CM178)</f>
        <v>-0.79333333333332945</v>
      </c>
      <c r="CK178" s="20">
        <f>CM178-(CB178-CA178)</f>
        <v>3.0133333333333354</v>
      </c>
      <c r="CL178" s="20">
        <f>2*CM178-CB178</f>
        <v>4.9166666666666696</v>
      </c>
      <c r="CM178" s="48">
        <f>(CB178+CA178+BI178)/3</f>
        <v>8.7233333333333345</v>
      </c>
      <c r="CN178" s="20">
        <f>2*CM178-CA178</f>
        <v>10.626666666666669</v>
      </c>
      <c r="CO178" s="20">
        <f>CM178+(CB178-CA178)</f>
        <v>14.433333333333334</v>
      </c>
      <c r="CP178" s="20">
        <f>CB178+2*(CM178-CA178)</f>
        <v>16.336666666666666</v>
      </c>
      <c r="CQ178" s="2" cm="1">
        <f t="array" aca="1" ref="CQ178" ca="1">MAX(_xlfn._xlws.FILTER(CJ178:CP178,CJ178:CP178&lt;BJ178))</f>
        <v>4.9166666666666696</v>
      </c>
      <c r="CR178" s="2" cm="1">
        <f t="array" aca="1" ref="CR178" ca="1">MIN(_xlfn._xlws.FILTER($CJ178:$CP178,$CJ178:$CP178&gt;BJ178))</f>
        <v>8.7233333333333345</v>
      </c>
      <c r="CS178" s="19">
        <f t="shared" ca="1" si="145"/>
        <v>0.77423728813559234</v>
      </c>
      <c r="CT178" s="23">
        <f t="shared" ca="1" si="146"/>
        <v>-0.38711864406779617</v>
      </c>
      <c r="CU178" s="23">
        <f t="shared" ca="1" si="147"/>
        <v>-0.25807909604519746</v>
      </c>
      <c r="CV178" s="23">
        <f t="shared" ca="1" si="148"/>
        <v>-0.15484745762711846</v>
      </c>
      <c r="CW178" s="23">
        <f t="shared" ca="1" si="149"/>
        <v>-8.602636534839915E-2</v>
      </c>
      <c r="CX178" s="23">
        <f t="shared" ca="1" si="150"/>
        <v>-4.5543369890328964E-2</v>
      </c>
      <c r="CY178" s="23">
        <f t="shared" ca="1" si="151"/>
        <v>-2.3461736004108859E-2</v>
      </c>
      <c r="CZ178" s="23">
        <f t="shared" ca="1" si="152"/>
        <v>-1.1911342894393728E-2</v>
      </c>
      <c r="DA178" s="24">
        <f t="shared" ca="1" si="153"/>
        <v>1.1911342894393728E-2</v>
      </c>
      <c r="DB178" s="24">
        <f t="shared" ca="1" si="154"/>
        <v>2.3461736004108859E-2</v>
      </c>
      <c r="DC178" s="24">
        <f t="shared" ca="1" si="155"/>
        <v>4.5543369890328964E-2</v>
      </c>
      <c r="DD178" s="24">
        <f t="shared" ca="1" si="156"/>
        <v>8.602636534839915E-2</v>
      </c>
      <c r="DE178" s="24">
        <f t="shared" ca="1" si="157"/>
        <v>0.15484745762711846</v>
      </c>
      <c r="DF178" s="24">
        <f t="shared" ca="1" si="158"/>
        <v>0.25807909604519746</v>
      </c>
      <c r="DG178" s="24">
        <f t="shared" ca="1" si="159"/>
        <v>0.38711864406779617</v>
      </c>
      <c r="DI178" s="19" cm="1">
        <f t="array" aca="1" ref="DI178" ca="1">MAX(_xlfn._xlws.FILTER(CT178:DG178,CT178:DG178&lt;BP178))</f>
        <v>-1.1911342894393728E-2</v>
      </c>
      <c r="DJ178" s="19" cm="1">
        <f t="array" aca="1" ref="DJ178" ca="1">MIN(_xlfn._xlws.FILTER(CT178:DG178,CT178:DG178&gt;BP178))</f>
        <v>1.1911342894393728E-2</v>
      </c>
      <c r="DK178" s="2" cm="1">
        <f t="array" aca="1" ref="DK178" ca="1">_FV(EH178,"Fechamento anterior",TRUE)</f>
        <v>6.82</v>
      </c>
      <c r="DL178" s="36">
        <f ca="1">(BJ178-DM178)/(DN178-DM178)</f>
        <v>0.99239642341726975</v>
      </c>
      <c r="DM178" s="18">
        <f t="shared" ca="1" si="160"/>
        <v>6.7387646414602349</v>
      </c>
      <c r="DN178" s="18">
        <f t="shared" ca="1" si="161"/>
        <v>6.9012353585397657</v>
      </c>
      <c r="DO178" s="9"/>
      <c r="DP178" s="9"/>
      <c r="DQ178" s="94">
        <v>1.586078524739188E-2</v>
      </c>
      <c r="DR178" s="94">
        <v>1.9645717058966273E-2</v>
      </c>
      <c r="DS178" s="94">
        <v>2.0335439730127806E-2</v>
      </c>
      <c r="DT178" s="94">
        <f t="shared" ca="1" si="137"/>
        <v>2.3822685788787455E-2</v>
      </c>
      <c r="DU178" s="87">
        <f ca="1">(BJ178-CF178)/(CF178-CE178)</f>
        <v>0.39632643347356367</v>
      </c>
      <c r="DV178" s="46"/>
      <c r="DW178" s="43">
        <f>_xlfn.STDEV.P(BF178:BI178)</f>
        <v>0.15769828787910137</v>
      </c>
      <c r="DX178" s="76">
        <f ca="1">BO178-$DT$2</f>
        <v>9.9599999999999911E-2</v>
      </c>
      <c r="DY178" s="76">
        <f ca="1">BO178-BP178*100</f>
        <v>-7.6300000000000034E-2</v>
      </c>
      <c r="DZ178" s="101"/>
      <c r="EA178" s="100">
        <v>-0.66949999999999998</v>
      </c>
      <c r="EB178" s="107">
        <v>0.82289999999999996</v>
      </c>
      <c r="EC178" s="107">
        <v>1.5182</v>
      </c>
      <c r="ED178" s="98">
        <f t="shared" ca="1" si="138"/>
        <v>0.17589999999999995</v>
      </c>
      <c r="EE178" s="66"/>
      <c r="EF178" s="66"/>
      <c r="EH178" s="2" t="e" vm="180">
        <v>#VALUE!</v>
      </c>
      <c r="EJ178" s="10" cm="1">
        <f t="array" aca="1" ref="EJ178" ca="1">_FV(EH178,"Ações em circulação",TRUE)</f>
        <v>139297900</v>
      </c>
      <c r="EK178" s="21">
        <f>VLOOKUP(BK178,Fundamentus!A:U,5,FALSE)</f>
        <v>0.63600000000000001</v>
      </c>
      <c r="EL178" s="2">
        <f ca="1">(BJ178*EJ178)/EK178</f>
        <v>1511250801.8867924</v>
      </c>
      <c r="EM178" s="20">
        <v>72445859.092767298</v>
      </c>
      <c r="EN178" s="20">
        <f t="shared" ca="1" si="139"/>
        <v>73295663.891509429</v>
      </c>
      <c r="EP178" s="19">
        <f t="shared" ca="1" si="134"/>
        <v>1.1730205278592365E-2</v>
      </c>
      <c r="EQ178" s="40" t="str">
        <f>IF(VLOOKUP(BK178,Fundamentus!A:U,3,FALSE)&lt;15,"Bom",IF(VLOOKUP(BK178,Fundamentus!A:U,3,FALSE)&gt;15,"Ruim","n/a"))</f>
        <v>Bom</v>
      </c>
      <c r="ER178" s="36" t="str">
        <f>IF(VLOOKUP(BK178,Fundamentus!A:U,4,FALSE)&lt;1,"Baixo",IF(VLOOKUP(BK178,Fundamentus!A:U,4,FALSE)&lt;1.5,"Moderado",IF(VLOOKUP(BK178,Fundamentus!A:U,4,FALSE)&gt;1.5,"Alto","n/a")))</f>
        <v>Baixo</v>
      </c>
      <c r="ES178" s="20" t="str">
        <f>IF(VLOOKUP(BK178,Fundamentus!A:U,8,FALSE)&lt;0,"Risco elevado",IF(VLOOKUP(BK178,Fundamentus!A:U,8,FALSE)&lt;1,"Saudável",IF(VLOOKUP(BK178,Fundamentus!A:U,8,FALSE)&lt;3,"Estável",IF(VLOOKUP(BK178,Fundamentus!A:U,8,FALSE)&gt;3,"Alerta","n/a"))))</f>
        <v>Estável</v>
      </c>
      <c r="ET178" s="36" t="str">
        <f t="shared" si="140"/>
        <v>Ruim</v>
      </c>
      <c r="EU178" s="20" t="str">
        <f>IF(VLOOKUP(BK178,Fundamentus!A:U,12,FALSE)&lt;2,"Subvalorizada",IF(VLOOKUP(BK178,Fundamentus!A:U,12,FALSE)&lt;6,"Muita barata",IF(VLOOKUP(BK178,Fundamentus!A:U,12,FALSE)&lt;6,"Barata",IF(VLOOKUP(BK178,Fundamentus!A:U,12,FALSE)&lt;8,"Atrativa",IF(VLOOKUP(BK178,Fundamentus!A:U,12,FALSE)&gt;8,"Supervalorizada","n/a")))))</f>
        <v>Supervalorizada</v>
      </c>
      <c r="EW178" s="20" t="str">
        <f>IF(VLOOKUP(BK178,Fundamentus!A:U,17,FALSE)&lt;0.1,"Fraco retorno",IF(VLOOKUP(BK178,Fundamentus!A:U,17,FALSE)&gt;0.1,"Bom retorno","n/a"))</f>
        <v>Fraco retorno</v>
      </c>
      <c r="EX178" s="20" t="str">
        <f>IF(VLOOKUP(BK178,Fundamentus!A:U,16,FALSE)&lt;0.1,"Ineficiente",IF(VLOOKUP(BK178,Fundamentus!A:U,16,FALSE)&gt;0.1,"Eficiente","n/a"))</f>
        <v>Ineficiente</v>
      </c>
      <c r="EY178" s="41" t="str">
        <f>IF(VLOOKUP(BK178,Fundamentus!A:U,16,FALSE)&lt;0.1,"Oper. Ineficiente",IF(VLOOKUP(BK178,Fundamentus!A:U,16,FALSE)&gt;0.1,"Oper.Eficiente","n/a"))</f>
        <v>Oper. Ineficiente</v>
      </c>
      <c r="EZ178" s="42">
        <f>VLOOKUP(BK178,Fundamentus!A:U,14,FALSE)</f>
        <v>4.8500000000000001E-2</v>
      </c>
      <c r="FA178" s="20" t="str">
        <f>IF(VLOOKUP(BK178,Fundamentus!A:U,21,FALSE)&lt;0,"Negativo",IF(VLOOKUP(BK178,Fundamentus!A:U,21,FALSE)&lt;0.05,"Fraco",IF(VLOOKUP(BK178,Fundamentus!A:U,21,FALSE)&lt;0.1,"Bom",IF(VLOOKUP(BK178,Fundamentus!A:U,21,FALSE)&gt;0.1,"Muito bom","n/a"))))</f>
        <v>Negativo</v>
      </c>
      <c r="FC178" s="37" t="str">
        <f>IF(VLOOKUP(BK178,Fundamentus!A:U,15,FALSE)&gt;1,"Bom",IF(VLOOKUP(BK178,Fundamentus!A:U,15,FALSE)&lt;1,"Ruim","n/a"))</f>
        <v>Bom</v>
      </c>
      <c r="FD178" s="20" t="str">
        <f>IF(VLOOKUP(BK178,Fundamentus!A:U,20,FALSE)&lt;0.5,"Baixa",IF(VLOOKUP(BK178,Fundamentus!A:U,20,FALSE)&lt;1,"Moderada",IF(VLOOKUP(BK178,Fundamentus!A:U,20,FALSE)&lt;2,"Alerta",IF(VLOOKUP(BK178,Fundamentus!A:U,20,FALSE)&gt;2,"Alta","n/a"))))</f>
        <v>Moderada</v>
      </c>
      <c r="FE178" s="10"/>
    </row>
    <row r="179" spans="1:161" s="2" customFormat="1" ht="11.25" hidden="1"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8">
        <v>4.38</v>
      </c>
      <c r="BC179" s="62">
        <v>4.34</v>
      </c>
      <c r="BD179" s="62">
        <v>4.59</v>
      </c>
      <c r="BE179" s="62">
        <v>4.46</v>
      </c>
      <c r="BF179" s="62">
        <v>4.4800000000000004</v>
      </c>
      <c r="BG179" s="81">
        <v>4.34</v>
      </c>
      <c r="BH179" s="62">
        <v>4.4000000000000004</v>
      </c>
      <c r="BI179" s="62">
        <v>4.12</v>
      </c>
      <c r="BJ179" s="62" cm="1">
        <f t="array" aca="1" ref="BJ179" ca="1">_FV(EH179,"Preço")</f>
        <v>4.03</v>
      </c>
      <c r="BK179" s="83" t="s">
        <v>175</v>
      </c>
      <c r="BL179" s="44" cm="1">
        <f t="array" aca="1" ref="BL179" ca="1">_FV(EH179,"Média de volume",TRUE)</f>
        <v>1560</v>
      </c>
      <c r="BM179" s="44">
        <v>1200</v>
      </c>
      <c r="BN179" s="44" cm="1">
        <f t="array" aca="1" ref="BN179" ca="1">_FV(EH179,"Volume")</f>
        <v>1800</v>
      </c>
      <c r="BO179" s="32" cm="1">
        <f t="array" aca="1" ref="BO179" ca="1">_FV(EH179,"Beta")</f>
        <v>0.86170000000000002</v>
      </c>
      <c r="BP179" s="86" cm="1">
        <f t="array" aca="1" ref="BP179" ca="1">_FV(EH179,"Variação (%)",TRUE)</f>
        <v>-2.1845E-2</v>
      </c>
      <c r="BQ179" s="48"/>
      <c r="BR179" s="48"/>
      <c r="BT179" s="20" cm="1">
        <f t="array" aca="1" ref="BT179" ca="1">_FV(EH179,"Baixo")</f>
        <v>4.03</v>
      </c>
      <c r="BU179" s="20" cm="1">
        <f t="array" aca="1" ref="BU179" ca="1">_FV(EH179,"Alto")</f>
        <v>4.16</v>
      </c>
      <c r="BV179" s="32"/>
      <c r="BW179" s="73">
        <f ca="1">SQRT(22.5*(BJ179/VLOOKUP(BK179,Fundamentus!A:U,3,FALSE))*(BJ179/VLOOKUP(BK179,Fundamentus!A:U,4,FALSE)))</f>
        <v>150.18923248873588</v>
      </c>
      <c r="BY179" s="72">
        <f t="shared" ca="1" si="135"/>
        <v>-2.1844660194174723E-2</v>
      </c>
      <c r="BZ179" s="8"/>
      <c r="CA179" s="71">
        <f t="shared" si="143"/>
        <v>3.45</v>
      </c>
      <c r="CB179" s="71">
        <f t="shared" si="136"/>
        <v>6.29</v>
      </c>
      <c r="CC179" s="71">
        <f t="shared" si="144"/>
        <v>4.9443442622950808</v>
      </c>
      <c r="CD179" s="17"/>
      <c r="CE179" s="43">
        <f t="shared" si="141"/>
        <v>3.8126051608576219</v>
      </c>
      <c r="CF179" s="18">
        <f>FORECAST("04/07/2025", BF179:BI179, $BF$5:$BI$5)</f>
        <v>4.0800000000000409</v>
      </c>
      <c r="CG179" s="43">
        <f t="shared" si="142"/>
        <v>4.3473948391424599</v>
      </c>
      <c r="CI179" s="17"/>
      <c r="CJ179" s="20">
        <f>CA179-2*(CB179-CM179)</f>
        <v>0.11000000000000032</v>
      </c>
      <c r="CK179" s="20">
        <f>CM179-(CB179-CA179)</f>
        <v>1.7800000000000002</v>
      </c>
      <c r="CL179" s="20">
        <f>2*CM179-CB179</f>
        <v>2.95</v>
      </c>
      <c r="CM179" s="48">
        <f>(CB179+CA179+BI179)/3</f>
        <v>4.62</v>
      </c>
      <c r="CN179" s="20">
        <f>2*CM179-CA179</f>
        <v>5.79</v>
      </c>
      <c r="CO179" s="20">
        <f>CM179+(CB179-CA179)</f>
        <v>7.46</v>
      </c>
      <c r="CP179" s="20">
        <f>CB179+2*(CM179-CA179)</f>
        <v>8.629999999999999</v>
      </c>
      <c r="CQ179" s="2" cm="1">
        <f t="array" aca="1" ref="CQ179" ca="1">MAX(_xlfn._xlws.FILTER(CJ179:CP179,CJ179:CP179&lt;BJ179))</f>
        <v>2.95</v>
      </c>
      <c r="CR179" s="2" cm="1">
        <f t="array" aca="1" ref="CR179" ca="1">MIN(_xlfn._xlws.FILTER($CJ179:$CP179,$CJ179:$CP179&gt;BJ179))</f>
        <v>4.62</v>
      </c>
      <c r="CS179" s="19">
        <f t="shared" ref="CS179:CS186" ca="1" si="162">(CR179/CQ179)-1</f>
        <v>0.56610169491525419</v>
      </c>
      <c r="CT179" s="23">
        <f t="shared" ref="CT179:CT186" ca="1" si="163">-$CS179/2</f>
        <v>-0.2830508474576271</v>
      </c>
      <c r="CU179" s="23">
        <f t="shared" ref="CU179:CU186" ca="1" si="164">-$CS179/3</f>
        <v>-0.18870056497175139</v>
      </c>
      <c r="CV179" s="23">
        <f t="shared" ref="CV179:CV186" ca="1" si="165">-$CS179/5</f>
        <v>-0.11322033898305084</v>
      </c>
      <c r="CW179" s="23">
        <f t="shared" ref="CW179:CW186" ca="1" si="166">-$CS179/9</f>
        <v>-6.2900188323917139E-2</v>
      </c>
      <c r="CX179" s="23">
        <f t="shared" ref="CX179:CX186" ca="1" si="167">-$CS179/17</f>
        <v>-3.3300099700897305E-2</v>
      </c>
      <c r="CY179" s="23">
        <f t="shared" ref="CY179:CY186" ca="1" si="168">-$CS179/33</f>
        <v>-1.7154596815613765E-2</v>
      </c>
      <c r="CZ179" s="23">
        <f t="shared" ref="CZ179:CZ186" ca="1" si="169">-$CS179/65</f>
        <v>-8.7092568448500652E-3</v>
      </c>
      <c r="DA179" s="24">
        <f t="shared" ref="DA179:DA186" ca="1" si="170">-$CS179/65*-1</f>
        <v>8.7092568448500652E-3</v>
      </c>
      <c r="DB179" s="24">
        <f t="shared" ref="DB179:DB186" ca="1" si="171">-$CS179/33*-1</f>
        <v>1.7154596815613765E-2</v>
      </c>
      <c r="DC179" s="24">
        <f t="shared" ref="DC179:DC186" ca="1" si="172">-$CS179/17*-1</f>
        <v>3.3300099700897305E-2</v>
      </c>
      <c r="DD179" s="24">
        <f t="shared" ref="DD179:DD186" ca="1" si="173">-$CS179/9*-1</f>
        <v>6.2900188323917139E-2</v>
      </c>
      <c r="DE179" s="24">
        <f t="shared" ref="DE179:DE186" ca="1" si="174">-$CS179/5*-1</f>
        <v>0.11322033898305084</v>
      </c>
      <c r="DF179" s="24">
        <f t="shared" ref="DF179:DF186" ca="1" si="175">-$CS179/3*-1</f>
        <v>0.18870056497175139</v>
      </c>
      <c r="DG179" s="24">
        <f t="shared" ref="DG179:DG186" ca="1" si="176">-$CS179/2*-1</f>
        <v>0.2830508474576271</v>
      </c>
      <c r="DI179" s="19" cm="1">
        <f t="array" aca="1" ref="DI179" ca="1">MAX(_xlfn._xlws.FILTER(CT179:DG179,CT179:DG179&lt;BP179))</f>
        <v>-3.3300099700897305E-2</v>
      </c>
      <c r="DJ179" s="19" cm="1">
        <f t="array" aca="1" ref="DJ179" ca="1">MIN(_xlfn._xlws.FILTER(CT179:DG179,CT179:DG179&gt;BP179))</f>
        <v>-1.7154596815613765E-2</v>
      </c>
      <c r="DK179" s="2" cm="1">
        <f t="array" aca="1" ref="DK179" ca="1">_FV(EH179,"Fechamento anterior",TRUE)</f>
        <v>4.12</v>
      </c>
      <c r="DL179" s="36">
        <f ca="1">(BJ179-DM179)/(DN179-DM179)</f>
        <v>0.709512710016863</v>
      </c>
      <c r="DM179" s="18">
        <f t="shared" ref="DM179:DM186" ca="1" si="177">DK179+(DK179*DI179)</f>
        <v>3.982803589232303</v>
      </c>
      <c r="DN179" s="18">
        <f t="shared" ref="DN179:DN186" ca="1" si="178">DK179+(DK179*DJ179)</f>
        <v>4.0493230611196713</v>
      </c>
      <c r="DO179" s="9"/>
      <c r="DP179" s="9"/>
      <c r="DQ179" s="96">
        <v>6.1408807785296197E-3</v>
      </c>
      <c r="DR179" s="96">
        <v>6.1408807785296197E-3</v>
      </c>
      <c r="DS179" s="96">
        <v>1.4705402662092335E-2</v>
      </c>
      <c r="DT179" s="96">
        <f t="shared" ca="1" si="137"/>
        <v>1.614550288528354E-2</v>
      </c>
      <c r="DU179" s="87">
        <f ca="1">(BJ179-CF179)/(CF179-CE179)</f>
        <v>-0.18698939800184339</v>
      </c>
      <c r="DV179" s="46"/>
      <c r="DW179" s="43">
        <f>_xlfn.STDEV.P(BF179:BI179)</f>
        <v>0.13369741957120948</v>
      </c>
      <c r="DX179" s="76">
        <f ca="1">BO179-$DT$2</f>
        <v>-0.13540000000000008</v>
      </c>
      <c r="DY179" s="76">
        <f ca="1">BO179-BP179*100</f>
        <v>3.0461999999999998</v>
      </c>
      <c r="DZ179" s="101"/>
      <c r="EA179" s="100">
        <v>1.4723999999999999</v>
      </c>
      <c r="EB179" s="107">
        <v>4.5282999999999998</v>
      </c>
      <c r="EC179" s="107">
        <v>1.9093</v>
      </c>
      <c r="ED179" s="98">
        <f t="shared" ca="1" si="138"/>
        <v>-3.1816</v>
      </c>
      <c r="EE179" s="66"/>
      <c r="EF179" s="66"/>
      <c r="EH179" s="2" t="e" vm="181">
        <v>#VALUE!</v>
      </c>
      <c r="EJ179" s="10" cm="1">
        <f t="array" aca="1" ref="EJ179" ca="1">_FV(EH179,"Ações em circulação",TRUE)</f>
        <v>7716400</v>
      </c>
      <c r="EK179" s="21">
        <f>VLOOKUP(BK179,Fundamentus!A:U,5,FALSE)</f>
        <v>3.5000000000000003E-2</v>
      </c>
      <c r="EL179" s="2">
        <f ca="1">(BJ179*EJ179)/EK179</f>
        <v>888488342.85714293</v>
      </c>
      <c r="EM179" s="20">
        <v>-37877382.44571428</v>
      </c>
      <c r="EN179" s="20">
        <f t="shared" ca="1" si="139"/>
        <v>-37049963.897142857</v>
      </c>
      <c r="EP179" s="19">
        <f t="shared" ca="1" si="134"/>
        <v>-2.1844660194174637E-2</v>
      </c>
      <c r="EQ179" s="49" t="str">
        <f>IF(VLOOKUP(BK179,Fundamentus!A:U,3,FALSE)&lt;15,"Bom",IF(VLOOKUP(BK179,Fundamentus!A:U,3,FALSE)&gt;15,"Ruim","n/a"))</f>
        <v>Bom</v>
      </c>
      <c r="ER179" s="50" t="str">
        <f>IF(VLOOKUP(BK179,Fundamentus!A:U,4,FALSE)&lt;1,"Baixo",IF(VLOOKUP(BK179,Fundamentus!A:U,4,FALSE)&lt;1.5,"Moderado",IF(VLOOKUP(BK179,Fundamentus!A:U,4,FALSE)&gt;1.5,"Alto","n/a")))</f>
        <v>Baixo</v>
      </c>
      <c r="ES179" s="51" t="str">
        <f>IF(VLOOKUP(BK179,Fundamentus!A:U,8,FALSE)&lt;0,"Risco elevado",IF(VLOOKUP(BK179,Fundamentus!A:U,8,FALSE)&lt;1,"Saudável",IF(VLOOKUP(BK179,Fundamentus!A:U,8,FALSE)&lt;3,"Estável",IF(VLOOKUP(BK179,Fundamentus!A:U,8,FALSE)&gt;3,"Alerta","n/a"))))</f>
        <v>Risco elevado</v>
      </c>
      <c r="ET179" s="50" t="str">
        <f t="shared" si="140"/>
        <v>Ruim</v>
      </c>
      <c r="EU179" s="51" t="str">
        <f>IF(VLOOKUP(BK179,Fundamentus!A:U,12,FALSE)&lt;2,"Subvalorizada",IF(VLOOKUP(BK179,Fundamentus!A:U,12,FALSE)&lt;6,"Muita barata",IF(VLOOKUP(BK179,Fundamentus!A:U,12,FALSE)&lt;6,"Barata",IF(VLOOKUP(BK179,Fundamentus!A:U,12,FALSE)&lt;8,"Atrativa",IF(VLOOKUP(BK179,Fundamentus!A:U,12,FALSE)&gt;8,"Supervalorizada","n/a")))))</f>
        <v>Atrativa</v>
      </c>
      <c r="EW179" s="51" t="str">
        <f>IF(VLOOKUP(BK179,Fundamentus!A:U,17,FALSE)&lt;0.1,"Fraco retorno",IF(VLOOKUP(BK179,Fundamentus!A:U,17,FALSE)&gt;0.1,"Bom retorno","n/a"))</f>
        <v>Fraco retorno</v>
      </c>
      <c r="EX179" s="51" t="str">
        <f>IF(VLOOKUP(BK179,Fundamentus!A:U,16,FALSE)&lt;0.1,"Ineficiente",IF(VLOOKUP(BK179,Fundamentus!A:U,16,FALSE)&gt;0.1,"Eficiente","n/a"))</f>
        <v>Ineficiente</v>
      </c>
      <c r="EY179" s="52" t="str">
        <f>IF(VLOOKUP(BK179,Fundamentus!A:U,16,FALSE)&lt;0.1,"Oper. Ineficiente",IF(VLOOKUP(BK179,Fundamentus!A:U,16,FALSE)&gt;0.1,"Oper.Eficiente","n/a"))</f>
        <v>Oper. Ineficiente</v>
      </c>
      <c r="EZ179" s="53">
        <f>VLOOKUP(BK179,Fundamentus!A:U,14,FALSE)</f>
        <v>-4.1700000000000001E-2</v>
      </c>
      <c r="FA179" s="51" t="str">
        <f>IF(VLOOKUP(BK179,Fundamentus!A:U,21,FALSE)&lt;0,"Negativo",IF(VLOOKUP(BK179,Fundamentus!A:U,21,FALSE)&lt;0.05,"Fraco",IF(VLOOKUP(BK179,Fundamentus!A:U,21,FALSE)&lt;0.1,"Bom",IF(VLOOKUP(BK179,Fundamentus!A:U,21,FALSE)&gt;0.1,"Muito bom","n/a"))))</f>
        <v>Muito bom</v>
      </c>
      <c r="FC179" s="54" t="str">
        <f>IF(VLOOKUP(BK179,Fundamentus!A:U,15,FALSE)&gt;1,"Bom",IF(VLOOKUP(BK179,Fundamentus!A:U,15,FALSE)&lt;1,"Ruim","n/a"))</f>
        <v>Ruim</v>
      </c>
      <c r="FD179" s="51" t="str">
        <f>IF(VLOOKUP(BK179,Fundamentus!A:U,20,FALSE)&lt;0.5,"Baixa",IF(VLOOKUP(BK179,Fundamentus!A:U,20,FALSE)&lt;1,"Moderada",IF(VLOOKUP(BK179,Fundamentus!A:U,20,FALSE)&lt;2,"Alerta",IF(VLOOKUP(BK179,Fundamentus!A:U,20,FALSE)&gt;2,"Alta","n/a"))))</f>
        <v>Baixa</v>
      </c>
      <c r="FE179" s="10"/>
    </row>
    <row r="180" spans="1:161"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8">
        <v>10.89</v>
      </c>
      <c r="BC180" s="62">
        <v>10.99</v>
      </c>
      <c r="BD180" s="62">
        <v>11.25</v>
      </c>
      <c r="BE180" s="62">
        <v>11.6</v>
      </c>
      <c r="BF180" s="62">
        <v>11.92</v>
      </c>
      <c r="BG180" s="81">
        <v>11.84</v>
      </c>
      <c r="BH180" s="62">
        <v>12.02</v>
      </c>
      <c r="BI180" s="62">
        <v>12.1</v>
      </c>
      <c r="BJ180" s="62" cm="1">
        <f t="array" aca="1" ref="BJ180" ca="1">_FV(EH180,"Preço")</f>
        <v>12.37</v>
      </c>
      <c r="BK180" s="80" t="s">
        <v>89</v>
      </c>
      <c r="BL180" s="44" cm="1">
        <f t="array" aca="1" ref="BL180" ca="1">_FV(EH180,"Média de volume",TRUE)</f>
        <v>412530</v>
      </c>
      <c r="BM180" s="44">
        <v>412000</v>
      </c>
      <c r="BN180" s="44" cm="1">
        <f t="array" aca="1" ref="BN180" ca="1">_FV(EH180,"Volume")</f>
        <v>198000</v>
      </c>
      <c r="BO180" s="32" cm="1">
        <f t="array" aca="1" ref="BO180" ca="1">_FV(EH180,"Beta")</f>
        <v>1.1620999999999999</v>
      </c>
      <c r="BP180" s="86" cm="1">
        <f t="array" aca="1" ref="BP180" ca="1">_FV(EH180,"Variação (%)",TRUE)</f>
        <v>2.2313999999999997E-2</v>
      </c>
      <c r="BQ180" s="18">
        <v>11.77</v>
      </c>
      <c r="BR180" s="18"/>
      <c r="BT180" s="20" cm="1">
        <f t="array" aca="1" ref="BT180" ca="1">_FV(EH180,"Baixo")</f>
        <v>12.1</v>
      </c>
      <c r="BU180" s="20" cm="1">
        <f t="array" aca="1" ref="BU180" ca="1">_FV(EH180,"Alto")</f>
        <v>12.45</v>
      </c>
      <c r="BV180" s="32"/>
      <c r="BW180" s="20">
        <f ca="1">SQRT(22.5*(BJ180/VLOOKUP(BK180,Fundamentus!A:U,3,FALSE))*(BJ180/VLOOKUP(BK180,Fundamentus!A:U,4,FALSE)))</f>
        <v>18.571722078194831</v>
      </c>
      <c r="BY180" s="72">
        <f t="shared" ca="1" si="135"/>
        <v>2.2314049586776824E-2</v>
      </c>
      <c r="BZ180" s="8"/>
      <c r="CA180" s="71">
        <f t="shared" si="143"/>
        <v>7.06</v>
      </c>
      <c r="CB180" s="71">
        <f t="shared" si="136"/>
        <v>12.1</v>
      </c>
      <c r="CC180" s="71">
        <f t="shared" si="144"/>
        <v>9.0163934426229524</v>
      </c>
      <c r="CD180" s="17"/>
      <c r="CE180" s="43">
        <f t="shared" si="141"/>
        <v>11.953022843964112</v>
      </c>
      <c r="CF180" s="18">
        <f>FORECAST("04/07/2025", BF180:BI180, $BF$5:$BI$5)</f>
        <v>12.150000000000034</v>
      </c>
      <c r="CG180" s="43">
        <f t="shared" si="142"/>
        <v>12.346977156035956</v>
      </c>
      <c r="CI180" s="17"/>
      <c r="CJ180" s="20">
        <f>CA180-2*(CB180-CM180)</f>
        <v>3.7</v>
      </c>
      <c r="CK180" s="20">
        <f>CM180-(CB180-CA180)</f>
        <v>5.38</v>
      </c>
      <c r="CL180" s="20">
        <f>2*CM180-CB180</f>
        <v>8.74</v>
      </c>
      <c r="CM180" s="48">
        <f>(CB180+CA180+BI180)/3</f>
        <v>10.42</v>
      </c>
      <c r="CN180" s="20">
        <f>2*CM180-CA180</f>
        <v>13.780000000000001</v>
      </c>
      <c r="CO180" s="20">
        <f>CM180+(CB180-CA180)</f>
        <v>15.46</v>
      </c>
      <c r="CP180" s="20">
        <f>CB180+2*(CM180-CA180)</f>
        <v>18.82</v>
      </c>
      <c r="CQ180" s="2" cm="1">
        <f t="array" aca="1" ref="CQ180" ca="1">MAX(_xlfn._xlws.FILTER(CJ180:CP180,CJ180:CP180&lt;BJ180))</f>
        <v>10.42</v>
      </c>
      <c r="CR180" s="2" cm="1">
        <f t="array" aca="1" ref="CR180" ca="1">MIN(_xlfn._xlws.FILTER($CJ180:$CP180,$CJ180:$CP180&gt;BJ180))</f>
        <v>13.780000000000001</v>
      </c>
      <c r="CS180" s="19">
        <f t="shared" ca="1" si="162"/>
        <v>0.3224568138195778</v>
      </c>
      <c r="CT180" s="23">
        <f t="shared" ca="1" si="163"/>
        <v>-0.1612284069097889</v>
      </c>
      <c r="CU180" s="23">
        <f t="shared" ca="1" si="164"/>
        <v>-0.10748560460652594</v>
      </c>
      <c r="CV180" s="23">
        <f t="shared" ca="1" si="165"/>
        <v>-6.4491362763915566E-2</v>
      </c>
      <c r="CW180" s="23">
        <f t="shared" ca="1" si="166"/>
        <v>-3.582853486884198E-2</v>
      </c>
      <c r="CX180" s="23">
        <f t="shared" ca="1" si="167"/>
        <v>-1.896804787173987E-2</v>
      </c>
      <c r="CY180" s="23">
        <f t="shared" ca="1" si="168"/>
        <v>-9.7714186005932666E-3</v>
      </c>
      <c r="CZ180" s="23">
        <f t="shared" ca="1" si="169"/>
        <v>-4.9608740587627357E-3</v>
      </c>
      <c r="DA180" s="24">
        <f t="shared" ca="1" si="170"/>
        <v>4.9608740587627357E-3</v>
      </c>
      <c r="DB180" s="24">
        <f t="shared" ca="1" si="171"/>
        <v>9.7714186005932666E-3</v>
      </c>
      <c r="DC180" s="24">
        <f t="shared" ca="1" si="172"/>
        <v>1.896804787173987E-2</v>
      </c>
      <c r="DD180" s="24">
        <f t="shared" ca="1" si="173"/>
        <v>3.582853486884198E-2</v>
      </c>
      <c r="DE180" s="24">
        <f t="shared" ca="1" si="174"/>
        <v>6.4491362763915566E-2</v>
      </c>
      <c r="DF180" s="24">
        <f t="shared" ca="1" si="175"/>
        <v>0.10748560460652594</v>
      </c>
      <c r="DG180" s="24">
        <f t="shared" ca="1" si="176"/>
        <v>0.1612284069097889</v>
      </c>
      <c r="DI180" s="19" cm="1">
        <f t="array" aca="1" ref="DI180" ca="1">MAX(_xlfn._xlws.FILTER(CT180:DG180,CT180:DG180&lt;BP180))</f>
        <v>1.896804787173987E-2</v>
      </c>
      <c r="DJ180" s="19" cm="1">
        <f t="array" aca="1" ref="DJ180" ca="1">MIN(_xlfn._xlws.FILTER(CT180:DG180,CT180:DG180&gt;BP180))</f>
        <v>3.582853486884198E-2</v>
      </c>
      <c r="DK180" s="2" cm="1">
        <f t="array" aca="1" ref="DK180" ca="1">_FV(EH180,"Fechamento anterior",TRUE)</f>
        <v>12.1</v>
      </c>
      <c r="DL180" s="36">
        <f ca="1">(BJ180-DM180)/(DN180-DM180)</f>
        <v>0.1984522579693016</v>
      </c>
      <c r="DM180" s="18">
        <f t="shared" ca="1" si="177"/>
        <v>12.329513379248052</v>
      </c>
      <c r="DN180" s="18">
        <f t="shared" ca="1" si="178"/>
        <v>12.533525271912987</v>
      </c>
      <c r="DO180" s="9"/>
      <c r="DP180" s="9"/>
      <c r="DQ180" s="103">
        <v>1.0253056560941413E-2</v>
      </c>
      <c r="DR180" s="103">
        <v>3.1420489918513607E-3</v>
      </c>
      <c r="DS180" s="103">
        <v>4.6662400977780629E-3</v>
      </c>
      <c r="DT180" s="103">
        <f t="shared" ca="1" si="137"/>
        <v>1.686048699710211E-2</v>
      </c>
      <c r="DU180" s="91">
        <f ca="1">(BJ180-CF180)/(CF180-CE180)</f>
        <v>1.1168807816468023</v>
      </c>
      <c r="DV180" s="46"/>
      <c r="DW180" s="43">
        <f>_xlfn.STDEV.P(BF180:BI180)</f>
        <v>9.8488578017960932E-2</v>
      </c>
      <c r="DX180" s="92">
        <f ca="1">BO180-$DT$2</f>
        <v>0.16499999999999981</v>
      </c>
      <c r="DY180" s="92">
        <f ca="1">BO180-BP180*100</f>
        <v>-1.0692999999999999</v>
      </c>
      <c r="DZ180" s="102"/>
      <c r="EA180" s="61">
        <v>0.63290000000000002</v>
      </c>
      <c r="EB180" s="61">
        <v>1.3251599999999999</v>
      </c>
      <c r="EC180" s="61">
        <v>1.0142000000000002</v>
      </c>
      <c r="ED180" s="98">
        <f t="shared" ca="1" si="138"/>
        <v>1.2342999999999997</v>
      </c>
      <c r="EE180" s="66"/>
      <c r="EF180" s="66"/>
      <c r="EH180" s="2" t="e" vm="182">
        <v>#VALUE!</v>
      </c>
      <c r="EJ180" s="10" cm="1">
        <f t="array" aca="1" ref="EJ180" ca="1">_FV(EH180,"Ações em circulação",TRUE)</f>
        <v>195434400</v>
      </c>
      <c r="EK180" s="21">
        <f>VLOOKUP(BK180,Fundamentus!A:U,5,FALSE)</f>
        <v>1.4470000000000001</v>
      </c>
      <c r="EL180" s="2">
        <f ca="1">(BJ180*EJ180)/EK180</f>
        <v>1670714255.7014513</v>
      </c>
      <c r="EM180" s="20">
        <v>425884917.86040086</v>
      </c>
      <c r="EN180" s="20">
        <f t="shared" ca="1" si="139"/>
        <v>435388135.03579819</v>
      </c>
      <c r="EP180" s="19">
        <f t="shared" ca="1" si="134"/>
        <v>2.2314049586776852E-2</v>
      </c>
      <c r="EQ180" s="40" t="str">
        <f>IF(VLOOKUP(BK180,Fundamentus!A:U,3,FALSE)&lt;15,"Bom",IF(VLOOKUP(BK180,Fundamentus!A:U,3,FALSE)&gt;15,"Ruim","n/a"))</f>
        <v>Bom</v>
      </c>
      <c r="ER180" s="36" t="str">
        <f>IF(VLOOKUP(BK180,Fundamentus!A:U,4,FALSE)&lt;1,"Baixo",IF(VLOOKUP(BK180,Fundamentus!A:U,4,FALSE)&lt;1.5,"Moderado",IF(VLOOKUP(BK180,Fundamentus!A:U,4,FALSE)&gt;1.5,"Alto","n/a")))</f>
        <v>Alto</v>
      </c>
      <c r="ES180" s="20" t="str">
        <f>IF(VLOOKUP(BK180,Fundamentus!A:U,8,FALSE)&lt;0,"Risco elevado",IF(VLOOKUP(BK180,Fundamentus!A:U,8,FALSE)&lt;1,"Saudável",IF(VLOOKUP(BK180,Fundamentus!A:U,8,FALSE)&lt;3,"Estável",IF(VLOOKUP(BK180,Fundamentus!A:U,8,FALSE)&gt;3,"Alerta","n/a"))))</f>
        <v>Estável</v>
      </c>
      <c r="ET180" s="36" t="str">
        <f t="shared" si="140"/>
        <v>Bom</v>
      </c>
      <c r="EU180" s="20" t="str">
        <f>IF(VLOOKUP(BK180,Fundamentus!A:U,12,FALSE)&lt;2,"Subvalorizada",IF(VLOOKUP(BK180,Fundamentus!A:U,12,FALSE)&lt;6,"Muita barata",IF(VLOOKUP(BK180,Fundamentus!A:U,12,FALSE)&lt;6,"Barata",IF(VLOOKUP(BK180,Fundamentus!A:U,12,FALSE)&lt;8,"Atrativa",IF(VLOOKUP(BK180,Fundamentus!A:U,12,FALSE)&gt;8,"Supervalorizada","n/a")))))</f>
        <v>Atrativa</v>
      </c>
      <c r="EW180" s="20" t="str">
        <f>IF(VLOOKUP(BK180,Fundamentus!A:U,17,FALSE)&lt;0.1,"Fraco retorno",IF(VLOOKUP(BK180,Fundamentus!A:U,17,FALSE)&gt;0.1,"Bom retorno","n/a"))</f>
        <v>Bom retorno</v>
      </c>
      <c r="EX180" s="20" t="str">
        <f>IF(VLOOKUP(BK180,Fundamentus!A:U,16,FALSE)&lt;0.1,"Ineficiente",IF(VLOOKUP(BK180,Fundamentus!A:U,16,FALSE)&gt;0.1,"Eficiente","n/a"))</f>
        <v>Eficiente</v>
      </c>
      <c r="EY180" s="41" t="str">
        <f>IF(VLOOKUP(BK180,Fundamentus!A:U,16,FALSE)&lt;0.1,"Oper. Ineficiente",IF(VLOOKUP(BK180,Fundamentus!A:U,16,FALSE)&gt;0.1,"Oper.Eficiente","n/a"))</f>
        <v>Oper.Eficiente</v>
      </c>
      <c r="EZ180" s="42">
        <f>VLOOKUP(BK180,Fundamentus!A:U,14,FALSE)</f>
        <v>0.2606</v>
      </c>
      <c r="FA180" s="20" t="str">
        <f>IF(VLOOKUP(BK180,Fundamentus!A:U,21,FALSE)&lt;0,"Negativo",IF(VLOOKUP(BK180,Fundamentus!A:U,21,FALSE)&lt;0.05,"Fraco",IF(VLOOKUP(BK180,Fundamentus!A:U,21,FALSE)&lt;0.1,"Bom",IF(VLOOKUP(BK180,Fundamentus!A:U,21,FALSE)&gt;0.1,"Muito bom","n/a"))))</f>
        <v>Muito bom</v>
      </c>
      <c r="FC180" s="37" t="str">
        <f>IF(VLOOKUP(BK180,Fundamentus!A:U,15,FALSE)&gt;1,"Bom",IF(VLOOKUP(BK180,Fundamentus!A:U,15,FALSE)&lt;1,"Ruim","n/a"))</f>
        <v>Bom</v>
      </c>
      <c r="FD180" s="20" t="str">
        <f>IF(VLOOKUP(BK180,Fundamentus!A:U,20,FALSE)&lt;0.5,"Baixa",IF(VLOOKUP(BK180,Fundamentus!A:U,20,FALSE)&lt;1,"Moderada",IF(VLOOKUP(BK180,Fundamentus!A:U,20,FALSE)&lt;2,"Alerta",IF(VLOOKUP(BK180,Fundamentus!A:U,20,FALSE)&gt;2,"Alta","n/a"))))</f>
        <v>Baixa</v>
      </c>
      <c r="FE180" s="10"/>
    </row>
    <row r="181" spans="1:161" s="2" customFormat="1" ht="11.25" hidden="1"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8">
        <v>6.95</v>
      </c>
      <c r="BC181" s="62">
        <v>7.95</v>
      </c>
      <c r="BD181" s="62">
        <v>8.98</v>
      </c>
      <c r="BE181" s="62">
        <v>8.9499999999999993</v>
      </c>
      <c r="BF181" s="62">
        <v>8.6999999999999993</v>
      </c>
      <c r="BG181" s="81">
        <v>9.18</v>
      </c>
      <c r="BH181" s="62">
        <v>8.64</v>
      </c>
      <c r="BI181" s="62">
        <v>8.73</v>
      </c>
      <c r="BJ181" s="62" cm="1">
        <f t="array" aca="1" ref="BJ181" ca="1">_FV(EH181,"Preço")</f>
        <v>8.76</v>
      </c>
      <c r="BK181" s="83" t="s">
        <v>177</v>
      </c>
      <c r="BL181" s="44" cm="1">
        <f t="array" aca="1" ref="BL181" ca="1">_FV(EH181,"Média de volume",TRUE)</f>
        <v>1959030</v>
      </c>
      <c r="BM181" s="44">
        <v>4100</v>
      </c>
      <c r="BN181" s="44" cm="1">
        <f t="array" aca="1" ref="BN181" ca="1">_FV(EH181,"Volume")</f>
        <v>100</v>
      </c>
      <c r="BO181" s="32" cm="1">
        <f t="array" aca="1" ref="BO181" ca="1">_FV(EH181,"Beta")</f>
        <v>0.95350000000000001</v>
      </c>
      <c r="BP181" s="86" cm="1">
        <f t="array" aca="1" ref="BP181" ca="1">_FV(EH181,"Variação (%)",TRUE)</f>
        <v>3.4360000000000003E-3</v>
      </c>
      <c r="BQ181" s="48"/>
      <c r="BR181" s="48"/>
      <c r="BT181" s="20" cm="1">
        <f t="array" aca="1" ref="BT181" ca="1">_FV(EH181,"Baixo")</f>
        <v>8.76</v>
      </c>
      <c r="BU181" s="20" cm="1">
        <f t="array" aca="1" ref="BU181" ca="1">_FV(EH181,"Alto")</f>
        <v>8.76</v>
      </c>
      <c r="BV181" s="32"/>
      <c r="BW181" s="73">
        <f ca="1">SQRT(22.5*(BJ181/VLOOKUP(BK181,Fundamentus!A:U,3,FALSE))*(BJ181/VLOOKUP(BK181,Fundamentus!A:U,4,FALSE)))</f>
        <v>5.8935915771611613</v>
      </c>
      <c r="BY181" s="72">
        <f t="shared" ca="1" si="135"/>
        <v>3.4364261168384146E-3</v>
      </c>
      <c r="BZ181" s="8"/>
      <c r="CA181" s="71">
        <f t="shared" si="143"/>
        <v>5.81</v>
      </c>
      <c r="CB181" s="71">
        <f t="shared" si="136"/>
        <v>10.25</v>
      </c>
      <c r="CC181" s="71">
        <f t="shared" si="144"/>
        <v>7.5589344262295084</v>
      </c>
      <c r="CD181" s="17"/>
      <c r="CE181" s="43">
        <f t="shared" si="141"/>
        <v>8.2707273593623629</v>
      </c>
      <c r="CF181" s="18">
        <f>FORECAST("04/07/2025", BF181:BI181, $BF$5:$BI$5)</f>
        <v>8.6999999999999886</v>
      </c>
      <c r="CG181" s="43">
        <f t="shared" si="142"/>
        <v>9.1292726406376143</v>
      </c>
      <c r="CI181" s="17"/>
      <c r="CJ181" s="20">
        <f>CA181-2*(CB181-CM181)</f>
        <v>1.8366666666666669</v>
      </c>
      <c r="CK181" s="20">
        <f>CM181-(CB181-CA181)</f>
        <v>3.8233333333333333</v>
      </c>
      <c r="CL181" s="20">
        <f>2*CM181-CB181</f>
        <v>6.2766666666666673</v>
      </c>
      <c r="CM181" s="48">
        <f>(CB181+CA181+BI181)/3</f>
        <v>8.2633333333333336</v>
      </c>
      <c r="CN181" s="20">
        <f>2*CM181-CA181</f>
        <v>10.716666666666669</v>
      </c>
      <c r="CO181" s="20">
        <f>CM181+(CB181-CA181)</f>
        <v>12.703333333333333</v>
      </c>
      <c r="CP181" s="20">
        <f>CB181+2*(CM181-CA181)</f>
        <v>15.156666666666668</v>
      </c>
      <c r="CQ181" s="2" cm="1">
        <f t="array" aca="1" ref="CQ181" ca="1">MAX(_xlfn._xlws.FILTER(CJ181:CP181,CJ181:CP181&lt;BJ181))</f>
        <v>8.2633333333333336</v>
      </c>
      <c r="CR181" s="2" cm="1">
        <f t="array" aca="1" ref="CR181" ca="1">MIN(_xlfn._xlws.FILTER($CJ181:$CP181,$CJ181:$CP181&gt;BJ181))</f>
        <v>10.716666666666669</v>
      </c>
      <c r="CS181" s="19">
        <f t="shared" ca="1" si="162"/>
        <v>0.29689390883420752</v>
      </c>
      <c r="CT181" s="23">
        <f t="shared" ca="1" si="163"/>
        <v>-0.14844695441710376</v>
      </c>
      <c r="CU181" s="23">
        <f t="shared" ca="1" si="164"/>
        <v>-9.8964636278069174E-2</v>
      </c>
      <c r="CV181" s="23">
        <f t="shared" ca="1" si="165"/>
        <v>-5.9378781766841505E-2</v>
      </c>
      <c r="CW181" s="23">
        <f t="shared" ca="1" si="166"/>
        <v>-3.2988212092689727E-2</v>
      </c>
      <c r="CX181" s="23">
        <f t="shared" ca="1" si="167"/>
        <v>-1.7464347578482795E-2</v>
      </c>
      <c r="CY181" s="23">
        <f t="shared" ca="1" si="168"/>
        <v>-8.9967851161881062E-3</v>
      </c>
      <c r="CZ181" s="23">
        <f t="shared" ca="1" si="169"/>
        <v>-4.567598597449346E-3</v>
      </c>
      <c r="DA181" s="24">
        <f t="shared" ca="1" si="170"/>
        <v>4.567598597449346E-3</v>
      </c>
      <c r="DB181" s="24">
        <f t="shared" ca="1" si="171"/>
        <v>8.9967851161881062E-3</v>
      </c>
      <c r="DC181" s="24">
        <f t="shared" ca="1" si="172"/>
        <v>1.7464347578482795E-2</v>
      </c>
      <c r="DD181" s="24">
        <f t="shared" ca="1" si="173"/>
        <v>3.2988212092689727E-2</v>
      </c>
      <c r="DE181" s="24">
        <f t="shared" ca="1" si="174"/>
        <v>5.9378781766841505E-2</v>
      </c>
      <c r="DF181" s="24">
        <f t="shared" ca="1" si="175"/>
        <v>9.8964636278069174E-2</v>
      </c>
      <c r="DG181" s="24">
        <f t="shared" ca="1" si="176"/>
        <v>0.14844695441710376</v>
      </c>
      <c r="DI181" s="19" cm="1">
        <f t="array" aca="1" ref="DI181" ca="1">MAX(_xlfn._xlws.FILTER(CT181:DG181,CT181:DG181&lt;BP181))</f>
        <v>-4.567598597449346E-3</v>
      </c>
      <c r="DJ181" s="19" cm="1">
        <f t="array" aca="1" ref="DJ181" ca="1">MIN(_xlfn._xlws.FILTER(CT181:DG181,CT181:DG181&gt;BP181))</f>
        <v>4.567598597449346E-3</v>
      </c>
      <c r="DK181" s="2" cm="1">
        <f t="array" aca="1" ref="DK181" ca="1">_FV(EH181,"Fechamento anterior",TRUE)</f>
        <v>8.73</v>
      </c>
      <c r="DL181" s="36">
        <f ca="1">(BJ181-DM181)/(DN181-DM181)</f>
        <v>0.87617426789182351</v>
      </c>
      <c r="DM181" s="18">
        <f t="shared" ca="1" si="177"/>
        <v>8.6901248642442681</v>
      </c>
      <c r="DN181" s="18">
        <f t="shared" ca="1" si="178"/>
        <v>8.7698751357557327</v>
      </c>
      <c r="DO181" s="9"/>
      <c r="DP181" s="9"/>
      <c r="DQ181" s="93">
        <v>1.0268172194777703E-2</v>
      </c>
      <c r="DR181" s="93">
        <v>6.5475553653578742E-3</v>
      </c>
      <c r="DS181" s="93">
        <v>2.750484240183132E-2</v>
      </c>
      <c r="DT181" s="93">
        <f t="shared" ca="1" si="137"/>
        <v>9.1351971948986921E-3</v>
      </c>
      <c r="DU181" s="87">
        <f ca="1">(BJ181-CF181)/(CF181-CE181)</f>
        <v>0.13977131156294836</v>
      </c>
      <c r="DV181" s="46"/>
      <c r="DW181" s="43">
        <f>_xlfn.STDEV.P(BF181:BI181)</f>
        <v>0.21463632031881261</v>
      </c>
      <c r="DX181" s="76">
        <f ca="1">BO181-$DT$2</f>
        <v>-4.3600000000000083E-2</v>
      </c>
      <c r="DY181" s="76">
        <f ca="1">BO181-BP181*100</f>
        <v>0.6099</v>
      </c>
      <c r="DZ181" s="101"/>
      <c r="EA181" s="100">
        <v>0.29870000000000008</v>
      </c>
      <c r="EB181" s="107">
        <v>-6.8431999999999995</v>
      </c>
      <c r="EC181" s="107">
        <v>0.29560000000000008</v>
      </c>
      <c r="ED181" s="98">
        <f t="shared" ca="1" si="138"/>
        <v>-0.65350000000000008</v>
      </c>
      <c r="EE181" s="66"/>
      <c r="EF181" s="66"/>
      <c r="EH181" s="2" t="e" vm="183">
        <v>#VALUE!</v>
      </c>
      <c r="EJ181" s="10" cm="1">
        <f t="array" aca="1" ref="EJ181" ca="1">_FV(EH181,"Ações em circulação",TRUE)</f>
        <v>683062200</v>
      </c>
      <c r="EK181" s="21">
        <f>VLOOKUP(BK181,Fundamentus!A:U,5,FALSE)</f>
        <v>1.4690000000000001</v>
      </c>
      <c r="EL181" s="2">
        <f ca="1">(BJ181*EJ181)/EK181</f>
        <v>4073264038.1211705</v>
      </c>
      <c r="EM181" s="20">
        <v>185510672.82110277</v>
      </c>
      <c r="EN181" s="20">
        <f t="shared" ca="1" si="139"/>
        <v>186148166.54213747</v>
      </c>
      <c r="EP181" s="19">
        <f t="shared" ca="1" si="134"/>
        <v>3.4364261168384758E-3</v>
      </c>
      <c r="EQ181" s="55" t="str">
        <f>IF(VLOOKUP(BK181,Fundamentus!A:U,3,FALSE)&lt;15,"Bom",IF(VLOOKUP(BK181,Fundamentus!A:U,3,FALSE)&gt;15,"Ruim","n/a"))</f>
        <v>Ruim</v>
      </c>
      <c r="ER181" s="56" t="str">
        <f>IF(VLOOKUP(BK181,Fundamentus!A:U,4,FALSE)&lt;1,"Baixo",IF(VLOOKUP(BK181,Fundamentus!A:U,4,FALSE)&lt;1.5,"Moderado",IF(VLOOKUP(BK181,Fundamentus!A:U,4,FALSE)&gt;1.5,"Alto","n/a")))</f>
        <v>Alto</v>
      </c>
      <c r="ES181" s="38" t="str">
        <f>IF(VLOOKUP(BK181,Fundamentus!A:U,8,FALSE)&lt;0,"Risco elevado",IF(VLOOKUP(BK181,Fundamentus!A:U,8,FALSE)&lt;1,"Saudável",IF(VLOOKUP(BK181,Fundamentus!A:U,8,FALSE)&lt;3,"Estável",IF(VLOOKUP(BK181,Fundamentus!A:U,8,FALSE)&gt;3,"Alerta","n/a"))))</f>
        <v>Alerta</v>
      </c>
      <c r="ET181" s="56" t="str">
        <f t="shared" si="140"/>
        <v>Bom</v>
      </c>
      <c r="EU181" s="38" t="str">
        <f>IF(VLOOKUP(BK181,Fundamentus!A:U,12,FALSE)&lt;2,"Subvalorizada",IF(VLOOKUP(BK181,Fundamentus!A:U,12,FALSE)&lt;6,"Muita barata",IF(VLOOKUP(BK181,Fundamentus!A:U,12,FALSE)&lt;6,"Barata",IF(VLOOKUP(BK181,Fundamentus!A:U,12,FALSE)&lt;8,"Atrativa",IF(VLOOKUP(BK181,Fundamentus!A:U,12,FALSE)&gt;8,"Supervalorizada","n/a")))))</f>
        <v>Supervalorizada</v>
      </c>
      <c r="EW181" s="38" t="str">
        <f>IF(VLOOKUP(BK181,Fundamentus!A:U,17,FALSE)&lt;0.1,"Fraco retorno",IF(VLOOKUP(BK181,Fundamentus!A:U,17,FALSE)&gt;0.1,"Bom retorno","n/a"))</f>
        <v>Fraco retorno</v>
      </c>
      <c r="EX181" s="38" t="str">
        <f>IF(VLOOKUP(BK181,Fundamentus!A:U,16,FALSE)&lt;0.1,"Ineficiente",IF(VLOOKUP(BK181,Fundamentus!A:U,16,FALSE)&gt;0.1,"Eficiente","n/a"))</f>
        <v>Ineficiente</v>
      </c>
      <c r="EY181" s="59" t="str">
        <f>IF(VLOOKUP(BK181,Fundamentus!A:U,16,FALSE)&lt;0.1,"Oper. Ineficiente",IF(VLOOKUP(BK181,Fundamentus!A:U,16,FALSE)&gt;0.1,"Oper.Eficiente","n/a"))</f>
        <v>Oper. Ineficiente</v>
      </c>
      <c r="EZ181" s="58">
        <f>VLOOKUP(BK181,Fundamentus!A:U,14,FALSE)</f>
        <v>4.5699999999999998E-2</v>
      </c>
      <c r="FA181" s="38" t="str">
        <f>IF(VLOOKUP(BK181,Fundamentus!A:U,21,FALSE)&lt;0,"Negativo",IF(VLOOKUP(BK181,Fundamentus!A:U,21,FALSE)&lt;0.05,"Fraco",IF(VLOOKUP(BK181,Fundamentus!A:U,21,FALSE)&lt;0.1,"Bom",IF(VLOOKUP(BK181,Fundamentus!A:U,21,FALSE)&gt;0.1,"Muito bom","n/a"))))</f>
        <v>Fraco</v>
      </c>
      <c r="FC181" s="39" t="str">
        <f>IF(VLOOKUP(BK181,Fundamentus!A:U,15,FALSE)&gt;1,"Bom",IF(VLOOKUP(BK181,Fundamentus!A:U,15,FALSE)&lt;1,"Ruim","n/a"))</f>
        <v>Bom</v>
      </c>
      <c r="FD181" s="38" t="str">
        <f>IF(VLOOKUP(BK181,Fundamentus!A:U,20,FALSE)&lt;0.5,"Baixa",IF(VLOOKUP(BK181,Fundamentus!A:U,20,FALSE)&lt;1,"Moderada",IF(VLOOKUP(BK181,Fundamentus!A:U,20,FALSE)&lt;2,"Alerta",IF(VLOOKUP(BK181,Fundamentus!A:U,20,FALSE)&gt;2,"Alta","n/a"))))</f>
        <v>Baixa</v>
      </c>
      <c r="FE181" s="10"/>
    </row>
    <row r="182" spans="1:161" s="2" customFormat="1" ht="11.25" hidden="1"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8">
        <v>3.1</v>
      </c>
      <c r="BC182" s="62">
        <v>3.07</v>
      </c>
      <c r="BD182" s="62">
        <v>3.04</v>
      </c>
      <c r="BE182" s="62">
        <v>3.4</v>
      </c>
      <c r="BF182" s="62">
        <v>3.21</v>
      </c>
      <c r="BG182" s="81">
        <v>3.86</v>
      </c>
      <c r="BH182" s="62">
        <v>3.71</v>
      </c>
      <c r="BI182" s="62">
        <v>3.6</v>
      </c>
      <c r="BJ182" s="62" cm="1">
        <f t="array" aca="1" ref="BJ182" ca="1">_FV(EH182,"Preço")</f>
        <v>3.68</v>
      </c>
      <c r="BK182" s="83" t="s">
        <v>178</v>
      </c>
      <c r="BL182" s="44" cm="1">
        <f t="array" aca="1" ref="BL182" ca="1">_FV(EH182,"Média de volume",TRUE)</f>
        <v>45130</v>
      </c>
      <c r="BM182" s="44">
        <v>8800</v>
      </c>
      <c r="BN182" s="44" cm="1">
        <f t="array" aca="1" ref="BN182" ca="1">_FV(EH182,"Volume")</f>
        <v>7400</v>
      </c>
      <c r="BO182" s="32" cm="1">
        <f t="array" aca="1" ref="BO182" ca="1">_FV(EH182,"Beta")</f>
        <v>1.5373000000000001</v>
      </c>
      <c r="BP182" s="86" cm="1">
        <f t="array" aca="1" ref="BP182" ca="1">_FV(EH182,"Variação (%)",TRUE)</f>
        <v>2.2221999999999999E-2</v>
      </c>
      <c r="BQ182" s="48"/>
      <c r="BR182" s="48"/>
      <c r="BT182" s="20" cm="1">
        <f t="array" aca="1" ref="BT182" ca="1">_FV(EH182,"Baixo")</f>
        <v>3.53</v>
      </c>
      <c r="BU182" s="20" cm="1">
        <f t="array" aca="1" ref="BU182" ca="1">_FV(EH182,"Alto")</f>
        <v>3.68</v>
      </c>
      <c r="BV182" s="32"/>
      <c r="BW182" s="73">
        <f ca="1">SQRT(22.5*(BJ182/VLOOKUP(BK182,Fundamentus!A:U,3,FALSE))*(BJ182/VLOOKUP(BK182,Fundamentus!A:U,4,FALSE)))</f>
        <v>10.382251293783424</v>
      </c>
      <c r="BY182" s="72">
        <f t="shared" ca="1" si="135"/>
        <v>2.222222222222224E-2</v>
      </c>
      <c r="BZ182" s="8"/>
      <c r="CA182" s="71">
        <f t="shared" si="143"/>
        <v>2.19</v>
      </c>
      <c r="CB182" s="71">
        <f t="shared" si="136"/>
        <v>4.26</v>
      </c>
      <c r="CC182" s="71">
        <f t="shared" si="144"/>
        <v>3.2197540983606547</v>
      </c>
      <c r="CD182" s="17"/>
      <c r="CE182" s="43">
        <f t="shared" si="141"/>
        <v>3.3686477381376729</v>
      </c>
      <c r="CF182" s="18">
        <f>FORECAST("04/07/2025", BF182:BI182, $BF$5:$BI$5)</f>
        <v>3.8500000000000227</v>
      </c>
      <c r="CG182" s="43">
        <f t="shared" si="142"/>
        <v>4.3313522618623725</v>
      </c>
      <c r="CI182" s="17"/>
      <c r="CJ182" s="20">
        <f>CA182-2*(CB182-CM182)</f>
        <v>0.36999999999999966</v>
      </c>
      <c r="CK182" s="20">
        <f>CM182-(CB182-CA182)</f>
        <v>1.2799999999999998</v>
      </c>
      <c r="CL182" s="20">
        <f>2*CM182-CB182</f>
        <v>2.4399999999999995</v>
      </c>
      <c r="CM182" s="48">
        <f>(CB182+CA182+BI182)/3</f>
        <v>3.3499999999999996</v>
      </c>
      <c r="CN182" s="20">
        <f>2*CM182-CA182</f>
        <v>4.51</v>
      </c>
      <c r="CO182" s="20">
        <f>CM182+(CB182-CA182)</f>
        <v>5.42</v>
      </c>
      <c r="CP182" s="20">
        <f>CB182+2*(CM182-CA182)</f>
        <v>6.5799999999999992</v>
      </c>
      <c r="CQ182" s="2" cm="1">
        <f t="array" aca="1" ref="CQ182" ca="1">MAX(_xlfn._xlws.FILTER(CJ182:CP182,CJ182:CP182&lt;BJ182))</f>
        <v>3.3499999999999996</v>
      </c>
      <c r="CR182" s="2" cm="1">
        <f t="array" aca="1" ref="CR182" ca="1">MIN(_xlfn._xlws.FILTER($CJ182:$CP182,$CJ182:$CP182&gt;BJ182))</f>
        <v>4.51</v>
      </c>
      <c r="CS182" s="19">
        <f t="shared" ca="1" si="162"/>
        <v>0.34626865671641793</v>
      </c>
      <c r="CT182" s="23">
        <f t="shared" ca="1" si="163"/>
        <v>-0.17313432835820897</v>
      </c>
      <c r="CU182" s="23">
        <f t="shared" ca="1" si="164"/>
        <v>-0.11542288557213931</v>
      </c>
      <c r="CV182" s="23">
        <f t="shared" ca="1" si="165"/>
        <v>-6.9253731343283581E-2</v>
      </c>
      <c r="CW182" s="23">
        <f t="shared" ca="1" si="166"/>
        <v>-3.8474295190713104E-2</v>
      </c>
      <c r="CX182" s="23">
        <f t="shared" ca="1" si="167"/>
        <v>-2.0368744512730467E-2</v>
      </c>
      <c r="CY182" s="23">
        <f t="shared" ca="1" si="168"/>
        <v>-1.0492989597467211E-2</v>
      </c>
      <c r="CZ182" s="23">
        <f t="shared" ca="1" si="169"/>
        <v>-5.327210103329507E-3</v>
      </c>
      <c r="DA182" s="24">
        <f t="shared" ca="1" si="170"/>
        <v>5.327210103329507E-3</v>
      </c>
      <c r="DB182" s="24">
        <f t="shared" ca="1" si="171"/>
        <v>1.0492989597467211E-2</v>
      </c>
      <c r="DC182" s="24">
        <f t="shared" ca="1" si="172"/>
        <v>2.0368744512730467E-2</v>
      </c>
      <c r="DD182" s="24">
        <f t="shared" ca="1" si="173"/>
        <v>3.8474295190713104E-2</v>
      </c>
      <c r="DE182" s="24">
        <f t="shared" ca="1" si="174"/>
        <v>6.9253731343283581E-2</v>
      </c>
      <c r="DF182" s="24">
        <f t="shared" ca="1" si="175"/>
        <v>0.11542288557213931</v>
      </c>
      <c r="DG182" s="24">
        <f t="shared" ca="1" si="176"/>
        <v>0.17313432835820897</v>
      </c>
      <c r="DI182" s="19" cm="1">
        <f t="array" aca="1" ref="DI182" ca="1">MAX(_xlfn._xlws.FILTER(CT182:DG182,CT182:DG182&lt;BP182))</f>
        <v>2.0368744512730467E-2</v>
      </c>
      <c r="DJ182" s="19" cm="1">
        <f t="array" aca="1" ref="DJ182" ca="1">MIN(_xlfn._xlws.FILTER(CT182:DG182,CT182:DG182&gt;BP182))</f>
        <v>3.8474295190713104E-2</v>
      </c>
      <c r="DK182" s="2" cm="1">
        <f t="array" aca="1" ref="DK182" ca="1">_FV(EH182,"Fechamento anterior",TRUE)</f>
        <v>3.6</v>
      </c>
      <c r="DL182" s="36">
        <f ca="1">(BJ182-DM182)/(DN182-DM182)</f>
        <v>0.10237068965517356</v>
      </c>
      <c r="DM182" s="18">
        <f t="shared" ca="1" si="177"/>
        <v>3.6733274802458298</v>
      </c>
      <c r="DN182" s="18">
        <f t="shared" ca="1" si="178"/>
        <v>3.7385074626865671</v>
      </c>
      <c r="DO182" s="9"/>
      <c r="DP182" s="9"/>
      <c r="DQ182" s="94">
        <v>8.8088630158622682E-3</v>
      </c>
      <c r="DR182" s="94">
        <v>2.745428973277074E-2</v>
      </c>
      <c r="DS182" s="94">
        <v>3.2244853971333108E-2</v>
      </c>
      <c r="DT182" s="94">
        <f t="shared" ca="1" si="137"/>
        <v>1.8105550677982637E-2</v>
      </c>
      <c r="DU182" s="87">
        <f ca="1">(BJ182-CF182)/(CF182-CE182)</f>
        <v>-0.35317170702032918</v>
      </c>
      <c r="DV182" s="46"/>
      <c r="DW182" s="43">
        <f>_xlfn.STDEV.P(BF182:BI182)</f>
        <v>0.24067613093117479</v>
      </c>
      <c r="DX182" s="76">
        <f ca="1">BO182-$DT$2</f>
        <v>0.54020000000000001</v>
      </c>
      <c r="DY182" s="76">
        <f ca="1">BO182-BP182*100</f>
        <v>-0.68489999999999984</v>
      </c>
      <c r="DZ182" s="101"/>
      <c r="EA182" s="100">
        <v>0.84220000000000006</v>
      </c>
      <c r="EB182" s="107">
        <v>1.5121999999999998</v>
      </c>
      <c r="EC182" s="107">
        <v>-9.6100000000000074E-2</v>
      </c>
      <c r="ED182" s="98">
        <f t="shared" ca="1" si="138"/>
        <v>1.2250999999999999</v>
      </c>
      <c r="EE182" s="66"/>
      <c r="EF182" s="66"/>
      <c r="EH182" s="2" t="e" vm="184">
        <v>#VALUE!</v>
      </c>
      <c r="EJ182" s="10" cm="1">
        <f t="array" aca="1" ref="EJ182" ca="1">_FV(EH182,"Ações em circulação",TRUE)</f>
        <v>63461460</v>
      </c>
      <c r="EK182" s="21">
        <f>VLOOKUP(BK182,Fundamentus!A:U,5,FALSE)</f>
        <v>0.29099999999999998</v>
      </c>
      <c r="EL182" s="2">
        <f ca="1">(BJ182*EJ182)/EK182</f>
        <v>802536676.28865993</v>
      </c>
      <c r="EM182" s="20">
        <v>29911937.641237117</v>
      </c>
      <c r="EN182" s="20">
        <f t="shared" ca="1" si="139"/>
        <v>30576647.366597947</v>
      </c>
      <c r="EP182" s="19">
        <f t="shared" ca="1" si="134"/>
        <v>2.2222222222222365E-2</v>
      </c>
      <c r="EQ182" s="40" t="str">
        <f>IF(VLOOKUP(BK182,Fundamentus!A:U,3,FALSE)&lt;15,"Bom",IF(VLOOKUP(BK182,Fundamentus!A:U,3,FALSE)&gt;15,"Ruim","n/a"))</f>
        <v>Bom</v>
      </c>
      <c r="ER182" s="36" t="str">
        <f>IF(VLOOKUP(BK182,Fundamentus!A:U,4,FALSE)&lt;1,"Baixo",IF(VLOOKUP(BK182,Fundamentus!A:U,4,FALSE)&lt;1.5,"Moderado",IF(VLOOKUP(BK182,Fundamentus!A:U,4,FALSE)&gt;1.5,"Alto","n/a")))</f>
        <v>Baixo</v>
      </c>
      <c r="ES182" s="20" t="str">
        <f>IF(VLOOKUP(BK182,Fundamentus!A:U,8,FALSE)&lt;0,"Risco elevado",IF(VLOOKUP(BK182,Fundamentus!A:U,8,FALSE)&lt;1,"Saudável",IF(VLOOKUP(BK182,Fundamentus!A:U,8,FALSE)&lt;3,"Estável",IF(VLOOKUP(BK182,Fundamentus!A:U,8,FALSE)&gt;3,"Alerta","n/a"))))</f>
        <v>Saudável</v>
      </c>
      <c r="ET182" s="36" t="str">
        <f t="shared" si="140"/>
        <v>Ruim</v>
      </c>
      <c r="EU182" s="20" t="str">
        <f>IF(VLOOKUP(BK182,Fundamentus!A:U,12,FALSE)&lt;2,"Subvalorizada",IF(VLOOKUP(BK182,Fundamentus!A:U,12,FALSE)&lt;6,"Muita barata",IF(VLOOKUP(BK182,Fundamentus!A:U,12,FALSE)&lt;6,"Barata",IF(VLOOKUP(BK182,Fundamentus!A:U,12,FALSE)&lt;8,"Atrativa",IF(VLOOKUP(BK182,Fundamentus!A:U,12,FALSE)&gt;8,"Supervalorizada","n/a")))))</f>
        <v>Subvalorizada</v>
      </c>
      <c r="EW182" s="20" t="str">
        <f>IF(VLOOKUP(BK182,Fundamentus!A:U,17,FALSE)&lt;0.1,"Fraco retorno",IF(VLOOKUP(BK182,Fundamentus!A:U,17,FALSE)&gt;0.1,"Bom retorno","n/a"))</f>
        <v>Fraco retorno</v>
      </c>
      <c r="EX182" s="20" t="str">
        <f>IF(VLOOKUP(BK182,Fundamentus!A:U,16,FALSE)&lt;0.1,"Ineficiente",IF(VLOOKUP(BK182,Fundamentus!A:U,16,FALSE)&gt;0.1,"Eficiente","n/a"))</f>
        <v>Eficiente</v>
      </c>
      <c r="EY182" s="41" t="str">
        <f>IF(VLOOKUP(BK182,Fundamentus!A:U,16,FALSE)&lt;0.1,"Oper. Ineficiente",IF(VLOOKUP(BK182,Fundamentus!A:U,16,FALSE)&gt;0.1,"Oper.Eficiente","n/a"))</f>
        <v>Oper.Eficiente</v>
      </c>
      <c r="EZ182" s="42">
        <f>VLOOKUP(BK182,Fundamentus!A:U,14,FALSE)</f>
        <v>3.8100000000000002E-2</v>
      </c>
      <c r="FA182" s="20" t="str">
        <f>IF(VLOOKUP(BK182,Fundamentus!A:U,21,FALSE)&lt;0,"Negativo",IF(VLOOKUP(BK182,Fundamentus!A:U,21,FALSE)&lt;0.05,"Fraco",IF(VLOOKUP(BK182,Fundamentus!A:U,21,FALSE)&lt;0.1,"Bom",IF(VLOOKUP(BK182,Fundamentus!A:U,21,FALSE)&gt;0.1,"Muito bom","n/a"))))</f>
        <v>Negativo</v>
      </c>
      <c r="FC182" s="37" t="str">
        <f>IF(VLOOKUP(BK182,Fundamentus!A:U,15,FALSE)&gt;1,"Bom",IF(VLOOKUP(BK182,Fundamentus!A:U,15,FALSE)&lt;1,"Ruim","n/a"))</f>
        <v>Bom</v>
      </c>
      <c r="FD182" s="20" t="str">
        <f>IF(VLOOKUP(BK182,Fundamentus!A:U,20,FALSE)&lt;0.5,"Baixa",IF(VLOOKUP(BK182,Fundamentus!A:U,20,FALSE)&lt;1,"Moderada",IF(VLOOKUP(BK182,Fundamentus!A:U,20,FALSE)&lt;2,"Alerta",IF(VLOOKUP(BK182,Fundamentus!A:U,20,FALSE)&gt;2,"Alta","n/a"))))</f>
        <v>Baixa</v>
      </c>
      <c r="FE182" s="10"/>
    </row>
    <row r="183" spans="1:161" s="2" customFormat="1" ht="11.25" hidden="1"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8">
        <v>5.16</v>
      </c>
      <c r="BC183" s="62">
        <v>5.14</v>
      </c>
      <c r="BD183" s="62">
        <v>5.17</v>
      </c>
      <c r="BE183" s="62">
        <v>5.04</v>
      </c>
      <c r="BF183" s="62">
        <v>4.9000000000000004</v>
      </c>
      <c r="BG183" s="81">
        <v>4.8600000000000003</v>
      </c>
      <c r="BH183" s="62">
        <v>4.87</v>
      </c>
      <c r="BI183" s="62">
        <v>4.82</v>
      </c>
      <c r="BJ183" s="62" cm="1">
        <f t="array" aca="1" ref="BJ183" ca="1">_FV(EH183,"Preço")</f>
        <v>4.82</v>
      </c>
      <c r="BK183" s="83" t="s">
        <v>179</v>
      </c>
      <c r="BL183" s="44" cm="1">
        <f t="array" aca="1" ref="BL183" ca="1">_FV(EH183,"Média de volume",TRUE)</f>
        <v>11971050</v>
      </c>
      <c r="BM183" s="44">
        <v>9208400</v>
      </c>
      <c r="BN183" s="44" cm="1">
        <f t="array" aca="1" ref="BN183" ca="1">_FV(EH183,"Volume")</f>
        <v>3064100</v>
      </c>
      <c r="BO183" s="32" cm="1">
        <f t="array" aca="1" ref="BO183" ca="1">_FV(EH183,"Beta")</f>
        <v>0.78700000000000003</v>
      </c>
      <c r="BP183" s="86" cm="1">
        <f t="array" aca="1" ref="BP183" ca="1">_FV(EH183,"Variação (%)",TRUE)</f>
        <v>0</v>
      </c>
      <c r="BQ183" s="48"/>
      <c r="BR183" s="48"/>
      <c r="BT183" s="20" cm="1">
        <f t="array" aca="1" ref="BT183" ca="1">_FV(EH183,"Baixo")</f>
        <v>4.8</v>
      </c>
      <c r="BU183" s="20" cm="1">
        <f t="array" aca="1" ref="BU183" ca="1">_FV(EH183,"Alto")</f>
        <v>4.87</v>
      </c>
      <c r="BV183" s="32"/>
      <c r="BW183" s="73">
        <f ca="1">SQRT(22.5*(BJ183/VLOOKUP(BK183,Fundamentus!A:U,3,FALSE))*(BJ183/VLOOKUP(BK183,Fundamentus!A:U,4,FALSE)))</f>
        <v>6.8413658793938508</v>
      </c>
      <c r="BY183" s="72">
        <f t="shared" ca="1" si="135"/>
        <v>0</v>
      </c>
      <c r="BZ183" s="8"/>
      <c r="CA183" s="71">
        <f t="shared" si="143"/>
        <v>4.42</v>
      </c>
      <c r="CB183" s="71">
        <f t="shared" si="136"/>
        <v>7.95</v>
      </c>
      <c r="CC183" s="71">
        <f t="shared" si="144"/>
        <v>5.9048360655737744</v>
      </c>
      <c r="CD183" s="17"/>
      <c r="CE183" s="43">
        <f t="shared" si="141"/>
        <v>4.7477723842887087</v>
      </c>
      <c r="CF183" s="18">
        <f>FORECAST("04/07/2025", BF183:BI183, $BF$5:$BI$5)</f>
        <v>4.8050000000000068</v>
      </c>
      <c r="CG183" s="43">
        <f t="shared" si="142"/>
        <v>4.8622276157113049</v>
      </c>
      <c r="CI183" s="17"/>
      <c r="CJ183" s="20">
        <f>CA183-2*(CB183-CM183)</f>
        <v>-1.9999999999999574E-2</v>
      </c>
      <c r="CK183" s="20">
        <f>CM183-(CB183-CA183)</f>
        <v>2.2000000000000002</v>
      </c>
      <c r="CL183" s="20">
        <f>2*CM183-CB183</f>
        <v>3.5100000000000007</v>
      </c>
      <c r="CM183" s="48">
        <f>(CB183+CA183+BI183)/3</f>
        <v>5.73</v>
      </c>
      <c r="CN183" s="20">
        <f>2*CM183-CA183</f>
        <v>7.0400000000000009</v>
      </c>
      <c r="CO183" s="20">
        <f>CM183+(CB183-CA183)</f>
        <v>9.2600000000000016</v>
      </c>
      <c r="CP183" s="20">
        <f>CB183+2*(CM183-CA183)</f>
        <v>10.57</v>
      </c>
      <c r="CQ183" s="2" cm="1">
        <f t="array" aca="1" ref="CQ183" ca="1">MAX(_xlfn._xlws.FILTER(CJ183:CP183,CJ183:CP183&lt;BJ183))</f>
        <v>3.5100000000000007</v>
      </c>
      <c r="CR183" s="2" cm="1">
        <f t="array" aca="1" ref="CR183" ca="1">MIN(_xlfn._xlws.FILTER($CJ183:$CP183,$CJ183:$CP183&gt;BJ183))</f>
        <v>5.73</v>
      </c>
      <c r="CS183" s="19">
        <f t="shared" ca="1" si="162"/>
        <v>0.63247863247863223</v>
      </c>
      <c r="CT183" s="23">
        <f t="shared" ca="1" si="163"/>
        <v>-0.31623931623931612</v>
      </c>
      <c r="CU183" s="23">
        <f t="shared" ca="1" si="164"/>
        <v>-0.21082621082621075</v>
      </c>
      <c r="CV183" s="23">
        <f t="shared" ca="1" si="165"/>
        <v>-0.12649572649572643</v>
      </c>
      <c r="CW183" s="23">
        <f t="shared" ca="1" si="166"/>
        <v>-7.0275403608736908E-2</v>
      </c>
      <c r="CX183" s="23">
        <f t="shared" ca="1" si="167"/>
        <v>-3.7204625439919543E-2</v>
      </c>
      <c r="CY183" s="23">
        <f t="shared" ca="1" si="168"/>
        <v>-1.916601916601916E-2</v>
      </c>
      <c r="CZ183" s="23">
        <f t="shared" ca="1" si="169"/>
        <v>-9.7304404996712644E-3</v>
      </c>
      <c r="DA183" s="24">
        <f t="shared" ca="1" si="170"/>
        <v>9.7304404996712644E-3</v>
      </c>
      <c r="DB183" s="24">
        <f t="shared" ca="1" si="171"/>
        <v>1.916601916601916E-2</v>
      </c>
      <c r="DC183" s="24">
        <f t="shared" ca="1" si="172"/>
        <v>3.7204625439919543E-2</v>
      </c>
      <c r="DD183" s="24">
        <f t="shared" ca="1" si="173"/>
        <v>7.0275403608736908E-2</v>
      </c>
      <c r="DE183" s="24">
        <f t="shared" ca="1" si="174"/>
        <v>0.12649572649572643</v>
      </c>
      <c r="DF183" s="24">
        <f t="shared" ca="1" si="175"/>
        <v>0.21082621082621075</v>
      </c>
      <c r="DG183" s="24">
        <f t="shared" ca="1" si="176"/>
        <v>0.31623931623931612</v>
      </c>
      <c r="DI183" s="19" cm="1">
        <f t="array" aca="1" ref="DI183" ca="1">MAX(_xlfn._xlws.FILTER(CT183:DG183,CT183:DG183&lt;BP183))</f>
        <v>-9.7304404996712644E-3</v>
      </c>
      <c r="DJ183" s="19" cm="1">
        <f t="array" aca="1" ref="DJ183" ca="1">MIN(_xlfn._xlws.FILTER(CT183:DG183,CT183:DG183&gt;BP183))</f>
        <v>9.7304404996712644E-3</v>
      </c>
      <c r="DK183" s="2" cm="1">
        <f t="array" aca="1" ref="DK183" ca="1">_FV(EH183,"Fechamento anterior",TRUE)</f>
        <v>4.82</v>
      </c>
      <c r="DL183" s="36">
        <f ca="1">(BJ183-DM183)/(DN183-DM183)</f>
        <v>0.5</v>
      </c>
      <c r="DM183" s="18">
        <f t="shared" ca="1" si="177"/>
        <v>4.7730992767915845</v>
      </c>
      <c r="DN183" s="18">
        <f t="shared" ca="1" si="178"/>
        <v>4.866900723208416</v>
      </c>
      <c r="DO183" s="9"/>
      <c r="DP183" s="9"/>
      <c r="DQ183" s="94">
        <v>1.2059145043438243E-2</v>
      </c>
      <c r="DR183" s="94">
        <v>1.2059145043438243E-2</v>
      </c>
      <c r="DS183" s="94">
        <v>3.262429696980898E-2</v>
      </c>
      <c r="DT183" s="94">
        <f t="shared" ca="1" si="137"/>
        <v>1.9460880999342529E-2</v>
      </c>
      <c r="DU183" s="87">
        <f ca="1">(BJ183-CF183)/(CF183-CE183)</f>
        <v>0.26211121699819667</v>
      </c>
      <c r="DV183" s="46"/>
      <c r="DW183" s="43">
        <f>_xlfn.STDEV.P(BF183:BI183)</f>
        <v>2.8613807855649005E-2</v>
      </c>
      <c r="DX183" s="76">
        <f ca="1">BO183-$DT$2</f>
        <v>-0.21010000000000006</v>
      </c>
      <c r="DY183" s="76">
        <f ca="1">BO183-BP183*100</f>
        <v>0.78700000000000003</v>
      </c>
      <c r="DZ183" s="101"/>
      <c r="EA183" s="100">
        <v>-2.5468000000000002</v>
      </c>
      <c r="EB183" s="107">
        <v>3.1246999999999998</v>
      </c>
      <c r="EC183" s="107">
        <v>-0.64209999999999989</v>
      </c>
      <c r="ED183" s="98">
        <f t="shared" ca="1" si="138"/>
        <v>-0.9971000000000001</v>
      </c>
      <c r="EE183" s="66"/>
      <c r="EF183" s="66"/>
      <c r="EH183" s="2" t="e" vm="185">
        <v>#VALUE!</v>
      </c>
      <c r="EJ183" s="10" cm="1">
        <f t="array" aca="1" ref="EJ183" ca="1">_FV(EH183,"Ações em circulação",TRUE)</f>
        <v>994130600</v>
      </c>
      <c r="EK183" s="21">
        <f>VLOOKUP(BK183,Fundamentus!A:U,5,FALSE)</f>
        <v>7.8E-2</v>
      </c>
      <c r="EL183" s="2">
        <f ca="1">(BJ183*EJ183)/EK183</f>
        <v>61432172974.358971</v>
      </c>
      <c r="EM183" s="20">
        <v>-1922827014.097436</v>
      </c>
      <c r="EN183" s="20">
        <f t="shared" ca="1" si="139"/>
        <v>-1922827014.097436</v>
      </c>
      <c r="EP183" s="19">
        <f t="shared" ca="1" si="134"/>
        <v>0</v>
      </c>
      <c r="EQ183" s="40" t="str">
        <f>IF(VLOOKUP(BK183,Fundamentus!A:U,3,FALSE)&lt;15,"Bom",IF(VLOOKUP(BK183,Fundamentus!A:U,3,FALSE)&gt;15,"Ruim","n/a"))</f>
        <v>Bom</v>
      </c>
      <c r="ER183" s="36" t="str">
        <f>IF(VLOOKUP(BK183,Fundamentus!A:U,4,FALSE)&lt;1,"Baixo",IF(VLOOKUP(BK183,Fundamentus!A:U,4,FALSE)&lt;1.5,"Moderado",IF(VLOOKUP(BK183,Fundamentus!A:U,4,FALSE)&gt;1.5,"Alto","n/a")))</f>
        <v>Baixo</v>
      </c>
      <c r="ES183" s="20" t="str">
        <f>IF(VLOOKUP(BK183,Fundamentus!A:U,8,FALSE)&lt;0,"Risco elevado",IF(VLOOKUP(BK183,Fundamentus!A:U,8,FALSE)&lt;1,"Saudável",IF(VLOOKUP(BK183,Fundamentus!A:U,8,FALSE)&lt;3,"Estável",IF(VLOOKUP(BK183,Fundamentus!A:U,8,FALSE)&gt;3,"Alerta","n/a"))))</f>
        <v>Saudável</v>
      </c>
      <c r="ET183" s="36" t="str">
        <f t="shared" si="140"/>
        <v>Ruim</v>
      </c>
      <c r="EU183" s="20" t="str">
        <f>IF(VLOOKUP(BK183,Fundamentus!A:U,12,FALSE)&lt;2,"Subvalorizada",IF(VLOOKUP(BK183,Fundamentus!A:U,12,FALSE)&lt;6,"Muita barata",IF(VLOOKUP(BK183,Fundamentus!A:U,12,FALSE)&lt;6,"Barata",IF(VLOOKUP(BK183,Fundamentus!A:U,12,FALSE)&lt;8,"Atrativa",IF(VLOOKUP(BK183,Fundamentus!A:U,12,FALSE)&gt;8,"Supervalorizada","n/a")))))</f>
        <v>Muita barata</v>
      </c>
      <c r="EW183" s="20" t="str">
        <f>IF(VLOOKUP(BK183,Fundamentus!A:U,17,FALSE)&lt;0.1,"Fraco retorno",IF(VLOOKUP(BK183,Fundamentus!A:U,17,FALSE)&gt;0.1,"Bom retorno","n/a"))</f>
        <v>Bom retorno</v>
      </c>
      <c r="EX183" s="20" t="str">
        <f>IF(VLOOKUP(BK183,Fundamentus!A:U,16,FALSE)&lt;0.1,"Ineficiente",IF(VLOOKUP(BK183,Fundamentus!A:U,16,FALSE)&gt;0.1,"Eficiente","n/a"))</f>
        <v>Eficiente</v>
      </c>
      <c r="EY183" s="41" t="str">
        <f>IF(VLOOKUP(BK183,Fundamentus!A:U,16,FALSE)&lt;0.1,"Oper. Ineficiente",IF(VLOOKUP(BK183,Fundamentus!A:U,16,FALSE)&gt;0.1,"Oper.Eficiente","n/a"))</f>
        <v>Oper.Eficiente</v>
      </c>
      <c r="EZ183" s="42">
        <f>VLOOKUP(BK183,Fundamentus!A:U,14,FALSE)</f>
        <v>-3.1300000000000001E-2</v>
      </c>
      <c r="FA183" s="20" t="str">
        <f>IF(VLOOKUP(BK183,Fundamentus!A:U,21,FALSE)&lt;0,"Negativo",IF(VLOOKUP(BK183,Fundamentus!A:U,21,FALSE)&lt;0.05,"Fraco",IF(VLOOKUP(BK183,Fundamentus!A:U,21,FALSE)&lt;0.1,"Bom",IF(VLOOKUP(BK183,Fundamentus!A:U,21,FALSE)&gt;0.1,"Muito bom","n/a"))))</f>
        <v>Muito bom</v>
      </c>
      <c r="FC183" s="37" t="str">
        <f>IF(VLOOKUP(BK183,Fundamentus!A:U,15,FALSE)&gt;1,"Bom",IF(VLOOKUP(BK183,Fundamentus!A:U,15,FALSE)&lt;1,"Ruim","n/a"))</f>
        <v>Bom</v>
      </c>
      <c r="FD183" s="20" t="str">
        <f>IF(VLOOKUP(BK183,Fundamentus!A:U,20,FALSE)&lt;0.5,"Baixa",IF(VLOOKUP(BK183,Fundamentus!A:U,20,FALSE)&lt;1,"Moderada",IF(VLOOKUP(BK183,Fundamentus!A:U,20,FALSE)&lt;2,"Alerta",IF(VLOOKUP(BK183,Fundamentus!A:U,20,FALSE)&gt;2,"Alta","n/a"))))</f>
        <v>Baixa</v>
      </c>
      <c r="FE183" s="10"/>
    </row>
    <row r="184" spans="1:161" s="2" customFormat="1" ht="11.25" hidden="1"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8">
        <v>8.11</v>
      </c>
      <c r="BC184" s="62">
        <v>9.14</v>
      </c>
      <c r="BD184" s="62">
        <v>9.08</v>
      </c>
      <c r="BE184" s="62">
        <v>9.18</v>
      </c>
      <c r="BF184" s="62">
        <v>8.93</v>
      </c>
      <c r="BG184" s="81">
        <v>9.15</v>
      </c>
      <c r="BH184" s="62">
        <v>9.06</v>
      </c>
      <c r="BI184" s="62">
        <v>9.23</v>
      </c>
      <c r="BJ184" s="62" cm="1">
        <f t="array" aca="1" ref="BJ184" ca="1">_FV(EH184,"Preço")</f>
        <v>9.36</v>
      </c>
      <c r="BK184" s="83" t="s">
        <v>67</v>
      </c>
      <c r="BL184" s="44" cm="1">
        <f t="array" aca="1" ref="BL184" ca="1">_FV(EH184,"Média de volume",TRUE)</f>
        <v>1959030</v>
      </c>
      <c r="BM184" s="44">
        <v>909700</v>
      </c>
      <c r="BN184" s="44" cm="1">
        <f t="array" aca="1" ref="BN184" ca="1">_FV(EH184,"Volume")</f>
        <v>374100</v>
      </c>
      <c r="BO184" s="32" cm="1">
        <f t="array" aca="1" ref="BO184" ca="1">_FV(EH184,"Beta")</f>
        <v>0.95350000000000001</v>
      </c>
      <c r="BP184" s="86" cm="1">
        <f t="array" aca="1" ref="BP184" ca="1">_FV(EH184,"Variação (%)",TRUE)</f>
        <v>1.4085E-2</v>
      </c>
      <c r="BQ184" s="48"/>
      <c r="BR184" s="48"/>
      <c r="BT184" s="20" cm="1">
        <f t="array" aca="1" ref="BT184" ca="1">_FV(EH184,"Baixo")</f>
        <v>9.19</v>
      </c>
      <c r="BU184" s="20" cm="1">
        <f t="array" aca="1" ref="BU184" ca="1">_FV(EH184,"Alto")</f>
        <v>9.4700000000000006</v>
      </c>
      <c r="BV184" s="32"/>
      <c r="BW184" s="73">
        <f ca="1">SQRT(22.5*(BJ184/VLOOKUP(BK184,Fundamentus!A:U,3,FALSE))*(BJ184/VLOOKUP(BK184,Fundamentus!A:U,4,FALSE)))</f>
        <v>6.3285375609140182</v>
      </c>
      <c r="BY184" s="72">
        <f t="shared" ca="1" si="135"/>
        <v>1.4084507042253412E-2</v>
      </c>
      <c r="BZ184" s="8"/>
      <c r="CA184" s="71">
        <f t="shared" si="143"/>
        <v>6</v>
      </c>
      <c r="CB184" s="71">
        <f t="shared" si="136"/>
        <v>9.9600000000000009</v>
      </c>
      <c r="CC184" s="71">
        <f t="shared" si="144"/>
        <v>7.7276229508196712</v>
      </c>
      <c r="CD184" s="17"/>
      <c r="CE184" s="43">
        <f t="shared" si="141"/>
        <v>9.0721211091198448</v>
      </c>
      <c r="CF184" s="18">
        <f>FORECAST("04/07/2025", BF184:BI184, $BF$5:$BI$5)</f>
        <v>9.2950000000000728</v>
      </c>
      <c r="CG184" s="43">
        <f t="shared" si="142"/>
        <v>9.5178788908803007</v>
      </c>
      <c r="CI184" s="17"/>
      <c r="CJ184" s="20">
        <f>CA184-2*(CB184-CM184)</f>
        <v>2.8733333333333313</v>
      </c>
      <c r="CK184" s="20">
        <f>CM184-(CB184-CA184)</f>
        <v>4.4366666666666656</v>
      </c>
      <c r="CL184" s="20">
        <f>2*CM184-CB184</f>
        <v>6.8333333333333321</v>
      </c>
      <c r="CM184" s="48">
        <f>(CB184+CA184+BI184)/3</f>
        <v>8.3966666666666665</v>
      </c>
      <c r="CN184" s="20">
        <f>2*CM184-CA184</f>
        <v>10.793333333333333</v>
      </c>
      <c r="CO184" s="20">
        <f>CM184+(CB184-CA184)</f>
        <v>12.356666666666667</v>
      </c>
      <c r="CP184" s="20">
        <f>CB184+2*(CM184-CA184)</f>
        <v>14.753333333333334</v>
      </c>
      <c r="CQ184" s="2" cm="1">
        <f t="array" aca="1" ref="CQ184" ca="1">MAX(_xlfn._xlws.FILTER(CJ184:CP184,CJ184:CP184&lt;BJ184))</f>
        <v>8.3966666666666665</v>
      </c>
      <c r="CR184" s="2" cm="1">
        <f t="array" aca="1" ref="CR184" ca="1">MIN(_xlfn._xlws.FILTER($CJ184:$CP184,$CJ184:$CP184&gt;BJ184))</f>
        <v>10.793333333333333</v>
      </c>
      <c r="CS184" s="19">
        <f t="shared" ca="1" si="162"/>
        <v>0.28543072647876144</v>
      </c>
      <c r="CT184" s="23">
        <f t="shared" ca="1" si="163"/>
        <v>-0.14271536323938072</v>
      </c>
      <c r="CU184" s="23">
        <f t="shared" ca="1" si="164"/>
        <v>-9.5143575492920476E-2</v>
      </c>
      <c r="CV184" s="23">
        <f t="shared" ca="1" si="165"/>
        <v>-5.7086145295752289E-2</v>
      </c>
      <c r="CW184" s="23">
        <f t="shared" ca="1" si="166"/>
        <v>-3.1714525164306825E-2</v>
      </c>
      <c r="CX184" s="23">
        <f t="shared" ca="1" si="167"/>
        <v>-1.6790042734044792E-2</v>
      </c>
      <c r="CY184" s="23">
        <f t="shared" ca="1" si="168"/>
        <v>-8.6494159539018626E-3</v>
      </c>
      <c r="CZ184" s="23">
        <f t="shared" ca="1" si="169"/>
        <v>-4.3912419458270995E-3</v>
      </c>
      <c r="DA184" s="24">
        <f t="shared" ca="1" si="170"/>
        <v>4.3912419458270995E-3</v>
      </c>
      <c r="DB184" s="24">
        <f t="shared" ca="1" si="171"/>
        <v>8.6494159539018626E-3</v>
      </c>
      <c r="DC184" s="24">
        <f t="shared" ca="1" si="172"/>
        <v>1.6790042734044792E-2</v>
      </c>
      <c r="DD184" s="24">
        <f t="shared" ca="1" si="173"/>
        <v>3.1714525164306825E-2</v>
      </c>
      <c r="DE184" s="24">
        <f t="shared" ca="1" si="174"/>
        <v>5.7086145295752289E-2</v>
      </c>
      <c r="DF184" s="24">
        <f t="shared" ca="1" si="175"/>
        <v>9.5143575492920476E-2</v>
      </c>
      <c r="DG184" s="24">
        <f t="shared" ca="1" si="176"/>
        <v>0.14271536323938072</v>
      </c>
      <c r="DI184" s="19" cm="1">
        <f t="array" aca="1" ref="DI184" ca="1">MAX(_xlfn._xlws.FILTER(CT184:DG184,CT184:DG184&lt;BP184))</f>
        <v>8.6494159539018626E-3</v>
      </c>
      <c r="DJ184" s="19" cm="1">
        <f t="array" aca="1" ref="DJ184" ca="1">MIN(_xlfn._xlws.FILTER(CT184:DG184,CT184:DG184&gt;BP184))</f>
        <v>1.6790042734044792E-2</v>
      </c>
      <c r="DK184" s="2" cm="1">
        <f t="array" aca="1" ref="DK184" ca="1">_FV(EH184,"Fechamento anterior",TRUE)</f>
        <v>9.23</v>
      </c>
      <c r="DL184" s="36">
        <f ca="1">(BJ184-DM184)/(DN184-DM184)</f>
        <v>0.66765019882855781</v>
      </c>
      <c r="DM184" s="18">
        <f t="shared" ca="1" si="177"/>
        <v>9.3098341092545152</v>
      </c>
      <c r="DN184" s="18">
        <f t="shared" ca="1" si="178"/>
        <v>9.3849720944352342</v>
      </c>
      <c r="DO184" s="9"/>
      <c r="DP184" s="9"/>
      <c r="DQ184" s="94">
        <v>8.5760941375914636E-3</v>
      </c>
      <c r="DR184" s="94">
        <v>8.5760941375914636E-3</v>
      </c>
      <c r="DS184" s="94">
        <v>8.0756968802509575E-3</v>
      </c>
      <c r="DT184" s="94">
        <f t="shared" ca="1" si="137"/>
        <v>8.1406267801429292E-3</v>
      </c>
      <c r="DU184" s="87">
        <f ca="1">(BJ184-CF184)/(CF184-CE184)</f>
        <v>0.29163820648612604</v>
      </c>
      <c r="DV184" s="46"/>
      <c r="DW184" s="43">
        <f>_xlfn.STDEV.P(BF184:BI184)</f>
        <v>0.1114394454401136</v>
      </c>
      <c r="DX184" s="76">
        <f ca="1">BO184-$DT$2</f>
        <v>-4.3600000000000083E-2</v>
      </c>
      <c r="DY184" s="76">
        <f ca="1">BO184-BP184*100</f>
        <v>-0.45500000000000007</v>
      </c>
      <c r="DZ184" s="101"/>
      <c r="EA184" s="100">
        <v>-0.67959999999999998</v>
      </c>
      <c r="EB184" s="107">
        <v>0.69309999999999983</v>
      </c>
      <c r="EC184" s="107">
        <v>-1.5229999999999999</v>
      </c>
      <c r="ED184" s="98">
        <f t="shared" ca="1" si="138"/>
        <v>0.41139999999999999</v>
      </c>
      <c r="EE184" s="66"/>
      <c r="EF184" s="66"/>
      <c r="EH184" s="2" t="e" vm="186">
        <v>#VALUE!</v>
      </c>
      <c r="EJ184" s="10" cm="1">
        <f t="array" aca="1" ref="EJ184" ca="1">_FV(EH184,"Ações em circulação",TRUE)</f>
        <v>683062200</v>
      </c>
      <c r="EK184" s="21">
        <f>VLOOKUP(BK184,Fundamentus!A:U,5,FALSE)</f>
        <v>1.464</v>
      </c>
      <c r="EL184" s="2">
        <f ca="1">(BJ184*EJ184)/EK184</f>
        <v>4367118983.6065578</v>
      </c>
      <c r="EM184" s="20">
        <v>196805430.08483604</v>
      </c>
      <c r="EN184" s="20">
        <f t="shared" ca="1" si="139"/>
        <v>199577337.55081969</v>
      </c>
      <c r="EP184" s="19">
        <f t="shared" ca="1" si="134"/>
        <v>1.4084507042253724E-2</v>
      </c>
      <c r="EQ184" s="40" t="str">
        <f>IF(VLOOKUP(BK184,Fundamentus!A:U,3,FALSE)&lt;15,"Bom",IF(VLOOKUP(BK184,Fundamentus!A:U,3,FALSE)&gt;15,"Ruim","n/a"))</f>
        <v>Ruim</v>
      </c>
      <c r="ER184" s="36" t="str">
        <f>IF(VLOOKUP(BK184,Fundamentus!A:U,4,FALSE)&lt;1,"Baixo",IF(VLOOKUP(BK184,Fundamentus!A:U,4,FALSE)&lt;1.5,"Moderado",IF(VLOOKUP(BK184,Fundamentus!A:U,4,FALSE)&gt;1.5,"Alto","n/a")))</f>
        <v>Alto</v>
      </c>
      <c r="ES184" s="20" t="str">
        <f>IF(VLOOKUP(BK184,Fundamentus!A:U,8,FALSE)&lt;0,"Risco elevado",IF(VLOOKUP(BK184,Fundamentus!A:U,8,FALSE)&lt;1,"Saudável",IF(VLOOKUP(BK184,Fundamentus!A:U,8,FALSE)&lt;3,"Estável",IF(VLOOKUP(BK184,Fundamentus!A:U,8,FALSE)&gt;3,"Alerta","n/a"))))</f>
        <v>Alerta</v>
      </c>
      <c r="ET184" s="36" t="str">
        <f t="shared" si="140"/>
        <v>Bom</v>
      </c>
      <c r="EU184" s="20" t="str">
        <f>IF(VLOOKUP(BK184,Fundamentus!A:U,12,FALSE)&lt;2,"Subvalorizada",IF(VLOOKUP(BK184,Fundamentus!A:U,12,FALSE)&lt;6,"Muita barata",IF(VLOOKUP(BK184,Fundamentus!A:U,12,FALSE)&lt;6,"Barata",IF(VLOOKUP(BK184,Fundamentus!A:U,12,FALSE)&lt;8,"Atrativa",IF(VLOOKUP(BK184,Fundamentus!A:U,12,FALSE)&gt;8,"Supervalorizada","n/a")))))</f>
        <v>Supervalorizada</v>
      </c>
      <c r="EW184" s="20" t="str">
        <f>IF(VLOOKUP(BK184,Fundamentus!A:U,17,FALSE)&lt;0.1,"Fraco retorno",IF(VLOOKUP(BK184,Fundamentus!A:U,17,FALSE)&gt;0.1,"Bom retorno","n/a"))</f>
        <v>Fraco retorno</v>
      </c>
      <c r="EX184" s="20" t="str">
        <f>IF(VLOOKUP(BK184,Fundamentus!A:U,16,FALSE)&lt;0.1,"Ineficiente",IF(VLOOKUP(BK184,Fundamentus!A:U,16,FALSE)&gt;0.1,"Eficiente","n/a"))</f>
        <v>Ineficiente</v>
      </c>
      <c r="EY184" s="41" t="str">
        <f>IF(VLOOKUP(BK184,Fundamentus!A:U,16,FALSE)&lt;0.1,"Oper. Ineficiente",IF(VLOOKUP(BK184,Fundamentus!A:U,16,FALSE)&gt;0.1,"Oper.Eficiente","n/a"))</f>
        <v>Oper. Ineficiente</v>
      </c>
      <c r="EZ184" s="42">
        <f>VLOOKUP(BK184,Fundamentus!A:U,14,FALSE)</f>
        <v>4.5699999999999998E-2</v>
      </c>
      <c r="FA184" s="20" t="str">
        <f>IF(VLOOKUP(BK184,Fundamentus!A:U,21,FALSE)&lt;0,"Negativo",IF(VLOOKUP(BK184,Fundamentus!A:U,21,FALSE)&lt;0.05,"Fraco",IF(VLOOKUP(BK184,Fundamentus!A:U,21,FALSE)&lt;0.1,"Bom",IF(VLOOKUP(BK184,Fundamentus!A:U,21,FALSE)&gt;0.1,"Muito bom","n/a"))))</f>
        <v>Fraco</v>
      </c>
      <c r="FC184" s="37" t="str">
        <f>IF(VLOOKUP(BK184,Fundamentus!A:U,15,FALSE)&gt;1,"Bom",IF(VLOOKUP(BK184,Fundamentus!A:U,15,FALSE)&lt;1,"Ruim","n/a"))</f>
        <v>Bom</v>
      </c>
      <c r="FD184" s="20" t="str">
        <f>IF(VLOOKUP(BK184,Fundamentus!A:U,20,FALSE)&lt;0.5,"Baixa",IF(VLOOKUP(BK184,Fundamentus!A:U,20,FALSE)&lt;1,"Moderada",IF(VLOOKUP(BK184,Fundamentus!A:U,20,FALSE)&lt;2,"Alerta",IF(VLOOKUP(BK184,Fundamentus!A:U,20,FALSE)&gt;2,"Alta","n/a"))))</f>
        <v>Baixa</v>
      </c>
      <c r="FE184" s="10"/>
    </row>
    <row r="185" spans="1:161" s="5" customFormat="1" ht="11.25" hidden="1"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8">
        <v>1.29</v>
      </c>
      <c r="BC185" s="62">
        <v>1.26</v>
      </c>
      <c r="BD185" s="62">
        <v>1</v>
      </c>
      <c r="BE185" s="62">
        <v>1.04</v>
      </c>
      <c r="BF185" s="62">
        <v>1.07</v>
      </c>
      <c r="BG185" s="81">
        <v>1.07</v>
      </c>
      <c r="BH185" s="62">
        <v>1.08</v>
      </c>
      <c r="BI185" s="62">
        <v>1.08</v>
      </c>
      <c r="BJ185" s="62" cm="1">
        <f t="array" aca="1" ref="BJ185" ca="1">_FV(EH185,"Preço")</f>
        <v>1.07</v>
      </c>
      <c r="BK185" s="83" t="s">
        <v>181</v>
      </c>
      <c r="BL185" s="44" cm="1">
        <f t="array" aca="1" ref="BL185" ca="1">_FV(EH185,"Média de volume",TRUE)</f>
        <v>1506750</v>
      </c>
      <c r="BM185" s="44">
        <v>738100</v>
      </c>
      <c r="BN185" s="44" cm="1">
        <f t="array" aca="1" ref="BN185" ca="1">_FV(EH185,"Volume")</f>
        <v>774800</v>
      </c>
      <c r="BO185" s="32" cm="1">
        <f t="array" aca="1" ref="BO185" ca="1">_FV(EH185,"Beta")</f>
        <v>1.8386</v>
      </c>
      <c r="BP185" s="86" cm="1">
        <f t="array" aca="1" ref="BP185" ca="1">_FV(EH185,"Variação (%)",TRUE)</f>
        <v>-9.2589999999999999E-3</v>
      </c>
      <c r="BQ185" s="48"/>
      <c r="BR185" s="48"/>
      <c r="BT185" s="20" cm="1">
        <f t="array" aca="1" ref="BT185" ca="1">_FV(EH185,"Baixo")</f>
        <v>1.06</v>
      </c>
      <c r="BU185" s="20" cm="1">
        <f t="array" aca="1" ref="BU185" ca="1">_FV(EH185,"Alto")</f>
        <v>1.0900000000000001</v>
      </c>
      <c r="BV185" s="32"/>
      <c r="BW185" s="73" t="e">
        <f ca="1">SQRT(22.5*(BJ185/VLOOKUP(BK185,Fundamentus!A:U,3,FALSE))*(BJ185/VLOOKUP(BK185,Fundamentus!A:U,4,FALSE)))</f>
        <v>#NUM!</v>
      </c>
      <c r="BY185" s="72">
        <f t="shared" ca="1" si="135"/>
        <v>-9.2592592592592674E-3</v>
      </c>
      <c r="BZ185" s="8"/>
      <c r="CA185" s="71">
        <f t="shared" si="143"/>
        <v>1</v>
      </c>
      <c r="CB185" s="71">
        <f t="shared" si="136"/>
        <v>2.1800000000000002</v>
      </c>
      <c r="CC185" s="71">
        <f t="shared" si="144"/>
        <v>1.5064754098360653</v>
      </c>
      <c r="CD185" s="17"/>
      <c r="CE185" s="43">
        <f t="shared" si="141"/>
        <v>1.0749999999999973</v>
      </c>
      <c r="CF185" s="18">
        <f>FORECAST("04/07/2025", BF185:BI185, $BF$5:$BI$5)</f>
        <v>1.0849999999999973</v>
      </c>
      <c r="CG185" s="43">
        <f t="shared" si="142"/>
        <v>1.0949999999999973</v>
      </c>
      <c r="CI185" s="17"/>
      <c r="CJ185" s="20">
        <f>CA185-2*(CB185-CM185)</f>
        <v>-0.52000000000000046</v>
      </c>
      <c r="CK185" s="20">
        <f>CM185-(CB185-CA185)</f>
        <v>0.23999999999999977</v>
      </c>
      <c r="CL185" s="20">
        <f>2*CM185-CB185</f>
        <v>0.6599999999999997</v>
      </c>
      <c r="CM185" s="48">
        <f>(CB185+CA185+BI185)/3</f>
        <v>1.42</v>
      </c>
      <c r="CN185" s="20">
        <f>2*CM185-CA185</f>
        <v>1.8399999999999999</v>
      </c>
      <c r="CO185" s="20">
        <f>CM185+(CB185-CA185)</f>
        <v>2.6</v>
      </c>
      <c r="CP185" s="20">
        <f>CB185+2*(CM185-CA185)</f>
        <v>3.02</v>
      </c>
      <c r="CQ185" s="2" cm="1">
        <f t="array" aca="1" ref="CQ185" ca="1">MAX(_xlfn._xlws.FILTER(CJ185:CP185,CJ185:CP185&lt;BJ185))</f>
        <v>0.6599999999999997</v>
      </c>
      <c r="CR185" s="2" cm="1">
        <f t="array" aca="1" ref="CR185" ca="1">MIN(_xlfn._xlws.FILTER($CJ185:$CP185,$CJ185:$CP185&gt;BJ185))</f>
        <v>1.42</v>
      </c>
      <c r="CS185" s="19">
        <f t="shared" ca="1" si="162"/>
        <v>1.1515151515151523</v>
      </c>
      <c r="CT185" s="23">
        <f t="shared" ca="1" si="163"/>
        <v>-0.57575757575757613</v>
      </c>
      <c r="CU185" s="23">
        <f t="shared" ca="1" si="164"/>
        <v>-0.38383838383838409</v>
      </c>
      <c r="CV185" s="23">
        <f t="shared" ca="1" si="165"/>
        <v>-0.23030303030303045</v>
      </c>
      <c r="CW185" s="23">
        <f t="shared" ca="1" si="166"/>
        <v>-0.12794612794612803</v>
      </c>
      <c r="CX185" s="23">
        <f t="shared" ca="1" si="167"/>
        <v>-6.7736185383244246E-2</v>
      </c>
      <c r="CY185" s="23">
        <f t="shared" ca="1" si="168"/>
        <v>-3.4894398530762191E-2</v>
      </c>
      <c r="CZ185" s="23">
        <f t="shared" ca="1" si="169"/>
        <v>-1.7715617715617728E-2</v>
      </c>
      <c r="DA185" s="24">
        <f t="shared" ca="1" si="170"/>
        <v>1.7715617715617728E-2</v>
      </c>
      <c r="DB185" s="24">
        <f t="shared" ca="1" si="171"/>
        <v>3.4894398530762191E-2</v>
      </c>
      <c r="DC185" s="24">
        <f t="shared" ca="1" si="172"/>
        <v>6.7736185383244246E-2</v>
      </c>
      <c r="DD185" s="24">
        <f t="shared" ca="1" si="173"/>
        <v>0.12794612794612803</v>
      </c>
      <c r="DE185" s="24">
        <f t="shared" ca="1" si="174"/>
        <v>0.23030303030303045</v>
      </c>
      <c r="DF185" s="24">
        <f t="shared" ca="1" si="175"/>
        <v>0.38383838383838409</v>
      </c>
      <c r="DG185" s="24">
        <f t="shared" ca="1" si="176"/>
        <v>0.57575757575757613</v>
      </c>
      <c r="DI185" s="19" cm="1">
        <f t="array" aca="1" ref="DI185" ca="1">MAX(_xlfn._xlws.FILTER(CT185:DG185,CT185:DG185&lt;BP185))</f>
        <v>-1.7715617715617728E-2</v>
      </c>
      <c r="DJ185" s="19" cm="1">
        <f t="array" aca="1" ref="DJ185" ca="1">MIN(_xlfn._xlws.FILTER(CT185:DG185,CT185:DG185&gt;BP185))</f>
        <v>1.7715617715617728E-2</v>
      </c>
      <c r="DK185" s="2" cm="1">
        <f t="array" aca="1" ref="DK185" ca="1">_FV(EH185,"Fechamento anterior",TRUE)</f>
        <v>1.08</v>
      </c>
      <c r="DL185" s="36">
        <f ca="1">(BJ185-DM185)/(DN185-DM185)</f>
        <v>0.23866959064327575</v>
      </c>
      <c r="DM185" s="18">
        <f t="shared" ca="1" si="177"/>
        <v>1.0608671328671329</v>
      </c>
      <c r="DN185" s="18">
        <f t="shared" ca="1" si="178"/>
        <v>1.0991328671328673</v>
      </c>
      <c r="DO185" s="9"/>
      <c r="DP185" s="9"/>
      <c r="DQ185" s="94">
        <v>4.0373499333036925E-2</v>
      </c>
      <c r="DR185" s="94">
        <v>4.0373499333036925E-2</v>
      </c>
      <c r="DS185" s="94">
        <v>1.7430188858760295E-2</v>
      </c>
      <c r="DT185" s="94">
        <f t="shared" ca="1" si="137"/>
        <v>3.5431235431235455E-2</v>
      </c>
      <c r="DU185" s="87">
        <f ca="1">(BJ185-CF185)/(CF185-CE185)</f>
        <v>-1.4999999999997224</v>
      </c>
      <c r="DV185" s="46"/>
      <c r="DW185" s="43">
        <f>_xlfn.STDEV.P(BF185:BI185)</f>
        <v>5.0000000000000044E-3</v>
      </c>
      <c r="DX185" s="76">
        <f ca="1">BO185-$DT$2</f>
        <v>0.84149999999999991</v>
      </c>
      <c r="DY185" s="76">
        <f ca="1">BO185-BP185*100</f>
        <v>2.7645</v>
      </c>
      <c r="DZ185" s="101"/>
      <c r="EA185" s="100">
        <v>-2.2654000000000001</v>
      </c>
      <c r="EB185" s="107">
        <v>-4.0213000000000001</v>
      </c>
      <c r="EC185" s="107">
        <v>-1.6373000000000002</v>
      </c>
      <c r="ED185" s="98">
        <f t="shared" ca="1" si="138"/>
        <v>-1.923</v>
      </c>
      <c r="EE185" s="66"/>
      <c r="EF185" s="66"/>
      <c r="EH185" s="5" t="e" vm="187">
        <v>#VALUE!</v>
      </c>
      <c r="EJ185" s="10" cm="1">
        <f t="array" aca="1" ref="EJ185" ca="1">_FV(EH185,"Ações em circulação",TRUE)</f>
        <v>820539200</v>
      </c>
      <c r="EK185" s="21">
        <f>VLOOKUP(BK185,Fundamentus!A:U,5,FALSE)</f>
        <v>0.25700000000000001</v>
      </c>
      <c r="EL185" s="2">
        <f ca="1">(BJ185*EJ185)/EK185</f>
        <v>3416252700.3891048</v>
      </c>
      <c r="EM185" s="20">
        <v>-188960280.20544747</v>
      </c>
      <c r="EN185" s="20">
        <f t="shared" ca="1" si="139"/>
        <v>-187210647.98132294</v>
      </c>
      <c r="EO185" s="2"/>
      <c r="EP185" s="19">
        <f t="shared" ca="1" si="134"/>
        <v>-9.2592592592593004E-3</v>
      </c>
      <c r="EQ185" s="40" t="str">
        <f>IF(VLOOKUP(BK185,Fundamentus!A:U,3,FALSE)&lt;15,"Bom",IF(VLOOKUP(BK185,Fundamentus!A:U,3,FALSE)&gt;15,"Ruim","n/a"))</f>
        <v>Bom</v>
      </c>
      <c r="ER185" s="36" t="str">
        <f>IF(VLOOKUP(BK185,Fundamentus!A:U,4,FALSE)&lt;1,"Baixo",IF(VLOOKUP(BK185,Fundamentus!A:U,4,FALSE)&lt;1.5,"Moderado",IF(VLOOKUP(BK185,Fundamentus!A:U,4,FALSE)&gt;1.5,"Alto","n/a")))</f>
        <v>Baixo</v>
      </c>
      <c r="ES185" s="20" t="str">
        <f>IF(VLOOKUP(BK185,Fundamentus!A:U,8,FALSE)&lt;0,"Risco elevado",IF(VLOOKUP(BK185,Fundamentus!A:U,8,FALSE)&lt;1,"Saudável",IF(VLOOKUP(BK185,Fundamentus!A:U,8,FALSE)&lt;3,"Estável",IF(VLOOKUP(BK185,Fundamentus!A:U,8,FALSE)&gt;3,"Alerta","n/a"))))</f>
        <v>Saudável</v>
      </c>
      <c r="ET185" s="36" t="str">
        <f t="shared" si="140"/>
        <v>Ruim</v>
      </c>
      <c r="EU185" s="20" t="str">
        <f>IF(VLOOKUP(BK185,Fundamentus!A:U,12,FALSE)&lt;2,"Subvalorizada",IF(VLOOKUP(BK185,Fundamentus!A:U,12,FALSE)&lt;6,"Muita barata",IF(VLOOKUP(BK185,Fundamentus!A:U,12,FALSE)&lt;6,"Barata",IF(VLOOKUP(BK185,Fundamentus!A:U,12,FALSE)&lt;8,"Atrativa",IF(VLOOKUP(BK185,Fundamentus!A:U,12,FALSE)&gt;8,"Supervalorizada","n/a")))))</f>
        <v>Subvalorizada</v>
      </c>
      <c r="EV185" s="2"/>
      <c r="EW185" s="20" t="str">
        <f>IF(VLOOKUP(BK185,Fundamentus!A:U,17,FALSE)&lt;0.1,"Fraco retorno",IF(VLOOKUP(BK185,Fundamentus!A:U,17,FALSE)&gt;0.1,"Bom retorno","n/a"))</f>
        <v>Fraco retorno</v>
      </c>
      <c r="EX185" s="20" t="str">
        <f>IF(VLOOKUP(BK185,Fundamentus!A:U,16,FALSE)&lt;0.1,"Ineficiente",IF(VLOOKUP(BK185,Fundamentus!A:U,16,FALSE)&gt;0.1,"Eficiente","n/a"))</f>
        <v>Ineficiente</v>
      </c>
      <c r="EY185" s="41" t="str">
        <f>IF(VLOOKUP(BK185,Fundamentus!A:U,16,FALSE)&lt;0.1,"Oper. Ineficiente",IF(VLOOKUP(BK185,Fundamentus!A:U,16,FALSE)&gt;0.1,"Oper.Eficiente","n/a"))</f>
        <v>Oper. Ineficiente</v>
      </c>
      <c r="EZ185" s="42">
        <f>VLOOKUP(BK185,Fundamentus!A:U,14,FALSE)</f>
        <v>-5.4800000000000001E-2</v>
      </c>
      <c r="FA185" s="20" t="str">
        <f>IF(VLOOKUP(BK185,Fundamentus!A:U,21,FALSE)&lt;0,"Negativo",IF(VLOOKUP(BK185,Fundamentus!A:U,21,FALSE)&lt;0.05,"Fraco",IF(VLOOKUP(BK185,Fundamentus!A:U,21,FALSE)&lt;0.1,"Bom",IF(VLOOKUP(BK185,Fundamentus!A:U,21,FALSE)&gt;0.1,"Muito bom","n/a"))))</f>
        <v>Negativo</v>
      </c>
      <c r="FC185" s="37" t="str">
        <f>IF(VLOOKUP(BK185,Fundamentus!A:U,15,FALSE)&gt;1,"Bom",IF(VLOOKUP(BK185,Fundamentus!A:U,15,FALSE)&lt;1,"Ruim","n/a"))</f>
        <v>Bom</v>
      </c>
      <c r="FD185" s="20" t="str">
        <f>IF(VLOOKUP(BK185,Fundamentus!A:U,20,FALSE)&lt;0.5,"Baixa",IF(VLOOKUP(BK185,Fundamentus!A:U,20,FALSE)&lt;1,"Moderada",IF(VLOOKUP(BK185,Fundamentus!A:U,20,FALSE)&lt;2,"Alerta",IF(VLOOKUP(BK185,Fundamentus!A:U,20,FALSE)&gt;2,"Alta","n/a"))))</f>
        <v>Baixa</v>
      </c>
      <c r="FE185" s="10"/>
    </row>
    <row r="186" spans="1:161" s="2" customFormat="1" ht="11.25" hidden="1"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8">
        <v>13.75</v>
      </c>
      <c r="BC186" s="62">
        <v>15.28</v>
      </c>
      <c r="BD186" s="62">
        <v>17.989999999999998</v>
      </c>
      <c r="BE186" s="62">
        <v>18.79</v>
      </c>
      <c r="BF186" s="62">
        <v>18.8</v>
      </c>
      <c r="BG186" s="81">
        <v>18.399999999999999</v>
      </c>
      <c r="BH186" s="62">
        <v>18.39</v>
      </c>
      <c r="BI186" s="62">
        <v>18.7</v>
      </c>
      <c r="BJ186" s="62" cm="1">
        <f t="array" aca="1" ref="BJ186" ca="1">_FV(EH186,"Preço")</f>
        <v>18.57</v>
      </c>
      <c r="BK186" s="83" t="s">
        <v>11</v>
      </c>
      <c r="BL186" s="44" cm="1">
        <f t="array" aca="1" ref="BL186" ca="1">_FV(EH186,"Média de volume",TRUE)</f>
        <v>53150</v>
      </c>
      <c r="BM186" s="44">
        <v>28400</v>
      </c>
      <c r="BN186" s="44" cm="1">
        <f t="array" aca="1" ref="BN186" ca="1">_FV(EH186,"Volume")</f>
        <v>26700</v>
      </c>
      <c r="BO186" s="32" cm="1">
        <f t="array" aca="1" ref="BO186" ca="1">_FV(EH186,"Beta")</f>
        <v>0.94989999999999997</v>
      </c>
      <c r="BP186" s="86" cm="1">
        <f t="array" aca="1" ref="BP186" ca="1">_FV(EH186,"Variação (%)",TRUE)</f>
        <v>-6.9520000000000007E-3</v>
      </c>
      <c r="BQ186" s="18">
        <v>18.88</v>
      </c>
      <c r="BR186" s="18"/>
      <c r="BT186" s="20" cm="1">
        <f t="array" aca="1" ref="BT186" ca="1">_FV(EH186,"Baixo")</f>
        <v>18.48</v>
      </c>
      <c r="BU186" s="20" cm="1">
        <f t="array" aca="1" ref="BU186" ca="1">_FV(EH186,"Alto")</f>
        <v>18.95</v>
      </c>
      <c r="BV186" s="32"/>
      <c r="BW186" s="20">
        <f ca="1">SQRT(22.5*(BJ186/VLOOKUP(BK186,Fundamentus!A:U,3,FALSE))*(BJ186/VLOOKUP(BK186,Fundamentus!A:U,4,FALSE)))</f>
        <v>41.38057746663835</v>
      </c>
      <c r="BY186" s="72">
        <f t="shared" ca="1" si="135"/>
        <v>-6.9518716577539582E-3</v>
      </c>
      <c r="BZ186" s="8"/>
      <c r="CA186" s="71">
        <f t="shared" si="143"/>
        <v>12.1</v>
      </c>
      <c r="CB186" s="71">
        <f t="shared" si="136"/>
        <v>18.8</v>
      </c>
      <c r="CC186" s="71">
        <f t="shared" si="144"/>
        <v>14.613032786885244</v>
      </c>
      <c r="CD186" s="17"/>
      <c r="CE186" s="43">
        <f t="shared" si="141"/>
        <v>18.132957184852376</v>
      </c>
      <c r="CF186" s="18">
        <f>FORECAST("04/07/2025", BF186:BI186, $BF$5:$BI$5)</f>
        <v>18.494999999999976</v>
      </c>
      <c r="CG186" s="43">
        <f t="shared" si="142"/>
        <v>18.857042815147576</v>
      </c>
      <c r="CI186" s="17"/>
      <c r="CJ186" s="20">
        <f>CA186-2*(CB186-CM186)</f>
        <v>7.5666666666666611</v>
      </c>
      <c r="CK186" s="20">
        <f>CM186-(CB186-CA186)</f>
        <v>9.8333333333333304</v>
      </c>
      <c r="CL186" s="20">
        <f>2*CM186-CB186</f>
        <v>14.266666666666662</v>
      </c>
      <c r="CM186" s="48">
        <f>(CB186+CA186+BI186)/3</f>
        <v>16.533333333333331</v>
      </c>
      <c r="CN186" s="20">
        <f>2*CM186-CA186</f>
        <v>20.966666666666661</v>
      </c>
      <c r="CO186" s="20">
        <f>CM186+(CB186-CA186)</f>
        <v>23.233333333333334</v>
      </c>
      <c r="CP186" s="20">
        <f>CB186+2*(CM186-CA186)</f>
        <v>27.666666666666664</v>
      </c>
      <c r="CQ186" s="2" cm="1">
        <f t="array" aca="1" ref="CQ186" ca="1">MAX(_xlfn._xlws.FILTER(CJ186:CP186,CJ186:CP186&lt;BJ186))</f>
        <v>16.533333333333331</v>
      </c>
      <c r="CR186" s="2" cm="1">
        <f t="array" aca="1" ref="CR186" ca="1">MIN(_xlfn._xlws.FILTER($CJ186:$CP186,$CJ186:$CP186&gt;BJ186))</f>
        <v>20.966666666666661</v>
      </c>
      <c r="CS186" s="19">
        <f t="shared" ca="1" si="162"/>
        <v>0.26814516129032251</v>
      </c>
      <c r="CT186" s="23">
        <f t="shared" ca="1" si="163"/>
        <v>-0.13407258064516125</v>
      </c>
      <c r="CU186" s="23">
        <f t="shared" ca="1" si="164"/>
        <v>-8.9381720430107503E-2</v>
      </c>
      <c r="CV186" s="23">
        <f t="shared" ca="1" si="165"/>
        <v>-5.36290322580645E-2</v>
      </c>
      <c r="CW186" s="23">
        <f t="shared" ca="1" si="166"/>
        <v>-2.9793906810035835E-2</v>
      </c>
      <c r="CX186" s="23">
        <f t="shared" ca="1" si="167"/>
        <v>-1.5773244781783678E-2</v>
      </c>
      <c r="CY186" s="23">
        <f t="shared" ca="1" si="168"/>
        <v>-8.1256109481915913E-3</v>
      </c>
      <c r="CZ186" s="23">
        <f t="shared" ca="1" si="169"/>
        <v>-4.1253101736972693E-3</v>
      </c>
      <c r="DA186" s="24">
        <f t="shared" ca="1" si="170"/>
        <v>4.1253101736972693E-3</v>
      </c>
      <c r="DB186" s="24">
        <f t="shared" ca="1" si="171"/>
        <v>8.1256109481915913E-3</v>
      </c>
      <c r="DC186" s="24">
        <f t="shared" ca="1" si="172"/>
        <v>1.5773244781783678E-2</v>
      </c>
      <c r="DD186" s="24">
        <f t="shared" ca="1" si="173"/>
        <v>2.9793906810035835E-2</v>
      </c>
      <c r="DE186" s="24">
        <f t="shared" ca="1" si="174"/>
        <v>5.36290322580645E-2</v>
      </c>
      <c r="DF186" s="24">
        <f t="shared" ca="1" si="175"/>
        <v>8.9381720430107503E-2</v>
      </c>
      <c r="DG186" s="24">
        <f t="shared" ca="1" si="176"/>
        <v>0.13407258064516125</v>
      </c>
      <c r="DI186" s="19" cm="1">
        <f t="array" aca="1" ref="DI186" ca="1">MAX(_xlfn._xlws.FILTER(CT186:DG186,CT186:DG186&lt;BP186))</f>
        <v>-8.1256109481915913E-3</v>
      </c>
      <c r="DJ186" s="19" cm="1">
        <f t="array" aca="1" ref="DJ186" ca="1">MIN(_xlfn._xlws.FILTER(CT186:DG186,CT186:DG186&gt;BP186))</f>
        <v>-4.1253101736972693E-3</v>
      </c>
      <c r="DK186" s="2" cm="1">
        <f t="array" aca="1" ref="DK186" ca="1">_FV(EH186,"Fechamento anterior",TRUE)</f>
        <v>18.7</v>
      </c>
      <c r="DL186" s="36">
        <f ca="1">(BJ186-DM186)/(DN186-DM186)</f>
        <v>0.29341275984079435</v>
      </c>
      <c r="DM186" s="18">
        <f t="shared" ca="1" si="177"/>
        <v>18.548051075268816</v>
      </c>
      <c r="DN186" s="18">
        <f t="shared" ca="1" si="178"/>
        <v>18.622856699751861</v>
      </c>
      <c r="DO186" s="9"/>
      <c r="DP186" s="9"/>
      <c r="DQ186" s="103">
        <v>6.7957798801327471E-3</v>
      </c>
      <c r="DR186" s="103">
        <v>6.3038871420593185E-3</v>
      </c>
      <c r="DS186" s="103">
        <v>1.3787800448103512E-2</v>
      </c>
      <c r="DT186" s="103">
        <f t="shared" ca="1" si="137"/>
        <v>4.000300774494322E-3</v>
      </c>
      <c r="DU186" s="91">
        <f ca="1">(BJ186-CF186)/(CF186-CE186)</f>
        <v>0.20715781908128103</v>
      </c>
      <c r="DV186" s="46"/>
      <c r="DW186" s="43">
        <f>_xlfn.STDEV.P(BF186:BI186)</f>
        <v>0.18102140757380078</v>
      </c>
      <c r="DX186" s="92">
        <f ca="1">BO186-$DT$2</f>
        <v>-4.7200000000000131E-2</v>
      </c>
      <c r="DY186" s="92">
        <f ca="1">BO186-BP186*100</f>
        <v>1.6451</v>
      </c>
      <c r="DZ186" s="102"/>
      <c r="EA186" s="61">
        <v>3.1299000000000001</v>
      </c>
      <c r="EB186" s="61">
        <v>-3.2256000000000005</v>
      </c>
      <c r="EC186" s="61">
        <v>-0.56220000000000003</v>
      </c>
      <c r="ED186" s="98">
        <f ca="1">DX186-DY186</f>
        <v>-1.6923000000000001</v>
      </c>
      <c r="EE186" s="66"/>
      <c r="EF186" s="66"/>
      <c r="EH186" s="2" t="e" vm="188">
        <v>#VALUE!</v>
      </c>
      <c r="EJ186" s="10" cm="1">
        <f t="array" aca="1" ref="EJ186" ca="1">_FV(EH186,"Ações em circulação",TRUE)</f>
        <v>92619260</v>
      </c>
      <c r="EK186" s="21">
        <f>VLOOKUP(BK186,Fundamentus!A:U,5,FALSE)</f>
        <v>0.57499999999999996</v>
      </c>
      <c r="EL186" s="2">
        <f ca="1">(BJ186*EJ186)/EK186</f>
        <v>2991199405.5652175</v>
      </c>
      <c r="EM186" s="20">
        <v>244886934.20973915</v>
      </c>
      <c r="EN186" s="20">
        <f t="shared" ca="1" si="139"/>
        <v>243184511.67245218</v>
      </c>
      <c r="EP186" s="19">
        <f t="shared" ca="1" si="134"/>
        <v>-6.9518716577540163E-3</v>
      </c>
      <c r="EQ186" s="40" t="str">
        <f>IF(VLOOKUP(BK186,Fundamentus!A:U,3,FALSE)&lt;15,"Bom",IF(VLOOKUP(BK186,Fundamentus!A:U,3,FALSE)&gt;15,"Ruim","n/a"))</f>
        <v>Bom</v>
      </c>
      <c r="ER186" s="36" t="str">
        <f>IF(VLOOKUP(BK186,Fundamentus!A:U,4,FALSE)&lt;1,"Baixo",IF(VLOOKUP(BK186,Fundamentus!A:U,4,FALSE)&lt;1.5,"Moderado",IF(VLOOKUP(BK186,Fundamentus!A:U,4,FALSE)&gt;1.5,"Alto","n/a")))</f>
        <v>Baixo</v>
      </c>
      <c r="ES186" s="20" t="str">
        <f>IF(VLOOKUP(BK186,Fundamentus!A:U,8,FALSE)&lt;0,"Risco elevado",IF(VLOOKUP(BK186,Fundamentus!A:U,8,FALSE)&lt;1,"Saudável",IF(VLOOKUP(BK186,Fundamentus!A:U,8,FALSE)&lt;3,"Estável",IF(VLOOKUP(BK186,Fundamentus!A:U,8,FALSE)&gt;3,"Alerta","n/a"))))</f>
        <v>Estável</v>
      </c>
      <c r="ET186" s="36" t="str">
        <f t="shared" si="140"/>
        <v>Ruim</v>
      </c>
      <c r="EU186" s="20" t="str">
        <f>IF(VLOOKUP(BK186,Fundamentus!A:U,12,FALSE)&lt;2,"Subvalorizada",IF(VLOOKUP(BK186,Fundamentus!A:U,12,FALSE)&lt;6,"Muita barata",IF(VLOOKUP(BK186,Fundamentus!A:U,12,FALSE)&lt;6,"Barata",IF(VLOOKUP(BK186,Fundamentus!A:U,12,FALSE)&lt;8,"Atrativa",IF(VLOOKUP(BK186,Fundamentus!A:U,12,FALSE)&gt;8,"Supervalorizada","n/a")))))</f>
        <v>Muita barata</v>
      </c>
      <c r="EW186" s="20" t="str">
        <f>IF(VLOOKUP(BK186,Fundamentus!A:U,17,FALSE)&lt;0.1,"Fraco retorno",IF(VLOOKUP(BK186,Fundamentus!A:U,17,FALSE)&gt;0.1,"Bom retorno","n/a"))</f>
        <v>Fraco retorno</v>
      </c>
      <c r="EX186" s="20" t="str">
        <f>IF(VLOOKUP(BK186,Fundamentus!A:U,16,FALSE)&lt;0.1,"Ineficiente",IF(VLOOKUP(BK186,Fundamentus!A:U,16,FALSE)&gt;0.1,"Eficiente","n/a"))</f>
        <v>Eficiente</v>
      </c>
      <c r="EY186" s="41" t="str">
        <f>IF(VLOOKUP(BK186,Fundamentus!A:U,16,FALSE)&lt;0.1,"Oper. Ineficiente",IF(VLOOKUP(BK186,Fundamentus!A:U,16,FALSE)&gt;0.1,"Oper.Eficiente","n/a"))</f>
        <v>Oper.Eficiente</v>
      </c>
      <c r="EZ186" s="42">
        <f>VLOOKUP(BK186,Fundamentus!A:U,14,FALSE)</f>
        <v>8.1299999999999997E-2</v>
      </c>
      <c r="FA186" s="20" t="str">
        <f>IF(VLOOKUP(BK186,Fundamentus!A:U,21,FALSE)&lt;0,"Negativo",IF(VLOOKUP(BK186,Fundamentus!A:U,21,FALSE)&lt;0.05,"Fraco",IF(VLOOKUP(BK186,Fundamentus!A:U,21,FALSE)&lt;0.1,"Bom",IF(VLOOKUP(BK186,Fundamentus!A:U,21,FALSE)&gt;0.1,"Muito bom","n/a"))))</f>
        <v>Bom</v>
      </c>
      <c r="FC186" s="37" t="str">
        <f>IF(VLOOKUP(BK186,Fundamentus!A:U,15,FALSE)&gt;1,"Bom",IF(VLOOKUP(BK186,Fundamentus!A:U,15,FALSE)&lt;1,"Ruim","n/a"))</f>
        <v>Bom</v>
      </c>
      <c r="FD186" s="20" t="str">
        <f>IF(VLOOKUP(BK186,Fundamentus!A:U,20,FALSE)&lt;0.5,"Baixa",IF(VLOOKUP(BK186,Fundamentus!A:U,20,FALSE)&lt;1,"Moderada",IF(VLOOKUP(BK186,Fundamentus!A:U,20,FALSE)&lt;2,"Alerta",IF(VLOOKUP(BK186,Fundamentus!A:U,20,FALSE)&gt;2,"Alta","n/a"))))</f>
        <v>Baixa</v>
      </c>
      <c r="FE186" s="10">
        <v>1</v>
      </c>
    </row>
    <row r="187" spans="1:161" s="2" customFormat="1" ht="11.25" hidden="1"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8">
        <v>14.25</v>
      </c>
      <c r="BC187" s="62">
        <v>14.77</v>
      </c>
      <c r="BD187" s="62">
        <v>14.39</v>
      </c>
      <c r="BE187" s="62">
        <v>13.95</v>
      </c>
      <c r="BF187" s="62">
        <v>13.57</v>
      </c>
      <c r="BG187" s="81">
        <v>13.05</v>
      </c>
      <c r="BH187" s="62">
        <v>13.62</v>
      </c>
      <c r="BI187" s="62">
        <v>14.12</v>
      </c>
      <c r="BJ187" s="62" cm="1">
        <f t="array" aca="1" ref="BJ187" ca="1">_FV(EH187,"Preço")</f>
        <v>14.37</v>
      </c>
      <c r="BK187" s="83" t="s">
        <v>183</v>
      </c>
      <c r="BL187" s="44" cm="1">
        <f t="array" aca="1" ref="BL187" ca="1">_FV(EH187,"Média de volume",TRUE)</f>
        <v>35128720</v>
      </c>
      <c r="BM187" s="44">
        <v>20403800</v>
      </c>
      <c r="BN187" s="44" cm="1">
        <f t="array" aca="1" ref="BN187" ca="1">_FV(EH187,"Volume")</f>
        <v>8627500</v>
      </c>
      <c r="BO187" s="32" cm="1">
        <f t="array" aca="1" ref="BO187" ca="1">_FV(EH187,"Beta")</f>
        <v>1.5043</v>
      </c>
      <c r="BP187" s="86" cm="1">
        <f t="array" aca="1" ref="BP187" ca="1">_FV(EH187,"Variação (%)",TRUE)</f>
        <v>1.7704999999999999E-2</v>
      </c>
      <c r="BQ187" s="48"/>
      <c r="BR187" s="48"/>
      <c r="BT187" s="20" cm="1">
        <f t="array" aca="1" ref="BT187" ca="1">_FV(EH187,"Baixo")</f>
        <v>14.04</v>
      </c>
      <c r="BU187" s="20" cm="1">
        <f t="array" aca="1" ref="BU187" ca="1">_FV(EH187,"Alto")</f>
        <v>14.37</v>
      </c>
      <c r="BV187" s="32"/>
      <c r="BW187" s="73">
        <f ca="1">SQRT(22.5*(BJ187/VLOOKUP(BK187,Fundamentus!A:U,3,FALSE))*(BJ187/VLOOKUP(BK187,Fundamentus!A:U,4,FALSE)))</f>
        <v>9.3502705273753239</v>
      </c>
      <c r="BY187" s="72">
        <f t="shared" ca="1" si="135"/>
        <v>1.7705382436260624E-2</v>
      </c>
      <c r="BZ187" s="8"/>
      <c r="CA187" s="71">
        <f t="shared" si="143"/>
        <v>9.26</v>
      </c>
      <c r="CB187" s="71">
        <f t="shared" si="136"/>
        <v>14.77</v>
      </c>
      <c r="CC187" s="71">
        <f t="shared" si="144"/>
        <v>11.508360655737706</v>
      </c>
      <c r="CD187" s="17"/>
      <c r="CE187" s="43">
        <f t="shared" si="141"/>
        <v>13.387504125423758</v>
      </c>
      <c r="CF187" s="18">
        <f>FORECAST("04/07/2025", BF187:BI187, $BF$5:$BI$5)</f>
        <v>14.144999999999982</v>
      </c>
      <c r="CG187" s="43">
        <f t="shared" si="142"/>
        <v>14.902495874576205</v>
      </c>
      <c r="CI187" s="17"/>
      <c r="CJ187" s="20">
        <f>CA187-2*(CB187-CM187)</f>
        <v>5.1533333333333342</v>
      </c>
      <c r="CK187" s="20">
        <f>CM187-(CB187-CA187)</f>
        <v>7.206666666666667</v>
      </c>
      <c r="CL187" s="20">
        <f>2*CM187-CB187</f>
        <v>10.663333333333334</v>
      </c>
      <c r="CM187" s="48">
        <f>(CB187+CA187+BI187)/3</f>
        <v>12.716666666666667</v>
      </c>
      <c r="CN187" s="20">
        <f>2*CM187-CA187</f>
        <v>16.173333333333332</v>
      </c>
      <c r="CO187" s="20">
        <f>CM187+(CB187-CA187)</f>
        <v>18.226666666666667</v>
      </c>
      <c r="CP187" s="20">
        <f>CB187+2*(CM187-CA187)</f>
        <v>21.683333333333334</v>
      </c>
      <c r="CQ187" s="2" cm="1">
        <f t="array" aca="1" ref="CQ187" ca="1">MAX(_xlfn._xlws.FILTER(CJ187:CP187,CJ187:CP187&lt;BJ187))</f>
        <v>12.716666666666667</v>
      </c>
      <c r="CR187" s="2" cm="1">
        <f t="array" aca="1" ref="CR187" ca="1">MIN(_xlfn._xlws.FILTER($CJ187:$CP187,$CJ187:$CP187&gt;BJ187))</f>
        <v>16.173333333333332</v>
      </c>
      <c r="CS187" s="19">
        <f t="shared" ref="CS187:CS205" ca="1" si="179">(CR187/CQ187)-1</f>
        <v>0.27182175622542593</v>
      </c>
      <c r="CT187" s="23">
        <f t="shared" ref="CT187:CT205" ca="1" si="180">-$CS187/2</f>
        <v>-0.13591087811271296</v>
      </c>
      <c r="CU187" s="23">
        <f t="shared" ref="CU187:CU205" ca="1" si="181">-$CS187/3</f>
        <v>-9.0607252075141975E-2</v>
      </c>
      <c r="CV187" s="23">
        <f t="shared" ref="CV187:CV205" ca="1" si="182">-$CS187/5</f>
        <v>-5.4364351245085187E-2</v>
      </c>
      <c r="CW187" s="23">
        <f t="shared" ref="CW187:CW205" ca="1" si="183">-$CS187/9</f>
        <v>-3.0202417358380657E-2</v>
      </c>
      <c r="CX187" s="23">
        <f t="shared" ref="CX187:CX205" ca="1" si="184">-$CS187/17</f>
        <v>-1.5989515072083876E-2</v>
      </c>
      <c r="CY187" s="23">
        <f t="shared" ref="CY187:CY205" ca="1" si="185">-$CS187/33</f>
        <v>-8.2370229159219981E-3</v>
      </c>
      <c r="CZ187" s="23">
        <f t="shared" ref="CZ187:CZ205" ca="1" si="186">-$CS187/65</f>
        <v>-4.1818731726988604E-3</v>
      </c>
      <c r="DA187" s="24">
        <f t="shared" ref="DA187:DA205" ca="1" si="187">-$CS187/65*-1</f>
        <v>4.1818731726988604E-3</v>
      </c>
      <c r="DB187" s="24">
        <f t="shared" ref="DB187:DB205" ca="1" si="188">-$CS187/33*-1</f>
        <v>8.2370229159219981E-3</v>
      </c>
      <c r="DC187" s="24">
        <f t="shared" ref="DC187:DC205" ca="1" si="189">-$CS187/17*-1</f>
        <v>1.5989515072083876E-2</v>
      </c>
      <c r="DD187" s="24">
        <f t="shared" ref="DD187:DD205" ca="1" si="190">-$CS187/9*-1</f>
        <v>3.0202417358380657E-2</v>
      </c>
      <c r="DE187" s="24">
        <f t="shared" ref="DE187:DE205" ca="1" si="191">-$CS187/5*-1</f>
        <v>5.4364351245085187E-2</v>
      </c>
      <c r="DF187" s="24">
        <f t="shared" ref="DF187:DF205" ca="1" si="192">-$CS187/3*-1</f>
        <v>9.0607252075141975E-2</v>
      </c>
      <c r="DG187" s="24">
        <f t="shared" ref="DG187:DG205" ca="1" si="193">-$CS187/2*-1</f>
        <v>0.13591087811271296</v>
      </c>
      <c r="DI187" s="19" cm="1">
        <f t="array" aca="1" ref="DI187" ca="1">MAX(_xlfn._xlws.FILTER(CT187:DG187,CT187:DG187&lt;BP187))</f>
        <v>1.5989515072083876E-2</v>
      </c>
      <c r="DJ187" s="19" cm="1">
        <f t="array" aca="1" ref="DJ187" ca="1">MIN(_xlfn._xlws.FILTER(CT187:DG187,CT187:DG187&gt;BP187))</f>
        <v>3.0202417358380657E-2</v>
      </c>
      <c r="DK187" s="2" cm="1">
        <f t="array" aca="1" ref="DK187" ca="1">_FV(EH187,"Fechamento anterior",TRUE)</f>
        <v>14.12</v>
      </c>
      <c r="DL187" s="36">
        <f ca="1">(BJ187-DM187)/(DN187-DM187)</f>
        <v>0.12072603678075446</v>
      </c>
      <c r="DM187" s="18">
        <f t="shared" ref="DM187:DM205" ca="1" si="194">DK187+(DK187*DI187)</f>
        <v>14.345771952817824</v>
      </c>
      <c r="DN187" s="18">
        <f t="shared" ref="DN187:DN205" ca="1" si="195">DK187+(DK187*DJ187)</f>
        <v>14.546458133100334</v>
      </c>
      <c r="DO187" s="9"/>
      <c r="DP187" s="9"/>
      <c r="DQ187" s="94">
        <v>6.1517959681177551E-3</v>
      </c>
      <c r="DR187" s="94">
        <v>6.6368414194501162E-3</v>
      </c>
      <c r="DS187" s="94">
        <v>3.7416736445862651E-3</v>
      </c>
      <c r="DT187" s="94">
        <f t="shared" ca="1" si="137"/>
        <v>1.4212902286296781E-2</v>
      </c>
      <c r="DU187" s="87">
        <f ca="1">(BJ187-CF187)/(CF187-CE187)</f>
        <v>0.29703132063378207</v>
      </c>
      <c r="DV187" s="46"/>
      <c r="DW187" s="43">
        <f>_xlfn.STDEV.P(BF187:BI187)</f>
        <v>0.37874793728811196</v>
      </c>
      <c r="DX187" s="76">
        <f ca="1">BO187-$DT$2</f>
        <v>0.50719999999999987</v>
      </c>
      <c r="DY187" s="76">
        <f ca="1">BO187-BP187*100</f>
        <v>-0.26619999999999977</v>
      </c>
      <c r="DZ187" s="101"/>
      <c r="EA187" s="100">
        <v>0.74409999999999998</v>
      </c>
      <c r="EB187" s="107">
        <v>1.9070999999999998</v>
      </c>
      <c r="EC187" s="107">
        <v>0.32269999999999999</v>
      </c>
      <c r="ED187" s="98">
        <f t="shared" ref="ED187:ED250" ca="1" si="196">DX187-DY187</f>
        <v>0.77339999999999964</v>
      </c>
      <c r="EE187" s="66"/>
      <c r="EF187" s="66"/>
      <c r="EH187" s="2" t="e" vm="189">
        <v>#VALUE!</v>
      </c>
      <c r="EJ187" s="10" cm="1">
        <f t="array" aca="1" ref="EJ187" ca="1">_FV(EH187,"Ações em circulação",TRUE)</f>
        <v>5426500000</v>
      </c>
      <c r="EK187" s="21">
        <f>VLOOKUP(BK187,Fundamentus!A:U,5,FALSE)</f>
        <v>6.3849999999999998</v>
      </c>
      <c r="EL187" s="2">
        <f ca="1">(BJ187*EJ187)/EK187</f>
        <v>12212812059.514488</v>
      </c>
      <c r="EM187" s="20">
        <v>5276550124.6671886</v>
      </c>
      <c r="EN187" s="20">
        <f t="shared" ca="1" si="139"/>
        <v>5369973462.5685205</v>
      </c>
      <c r="EP187" s="19">
        <f t="shared" ca="1" si="134"/>
        <v>1.7705382436260741E-2</v>
      </c>
      <c r="EQ187" s="40" t="str">
        <f>IF(VLOOKUP(BK187,Fundamentus!A:U,3,FALSE)&lt;15,"Bom",IF(VLOOKUP(BK187,Fundamentus!A:U,3,FALSE)&gt;15,"Ruim","n/a"))</f>
        <v>Bom</v>
      </c>
      <c r="ER187" s="36" t="str">
        <f>IF(VLOOKUP(BK187,Fundamentus!A:U,4,FALSE)&lt;1,"Baixo",IF(VLOOKUP(BK187,Fundamentus!A:U,4,FALSE)&lt;1.5,"Moderado",IF(VLOOKUP(BK187,Fundamentus!A:U,4,FALSE)&gt;1.5,"Alto","n/a")))</f>
        <v>Alto</v>
      </c>
      <c r="ES187" s="20" t="str">
        <f>IF(VLOOKUP(BK187,Fundamentus!A:U,8,FALSE)&lt;0,"Risco elevado",IF(VLOOKUP(BK187,Fundamentus!A:U,8,FALSE)&lt;1,"Saudável",IF(VLOOKUP(BK187,Fundamentus!A:U,8,FALSE)&lt;3,"Estável",IF(VLOOKUP(BK187,Fundamentus!A:U,8,FALSE)&gt;3,"Alerta","n/a"))))</f>
        <v>Alerta</v>
      </c>
      <c r="ET187" s="36" t="str">
        <f t="shared" si="140"/>
        <v>Bom</v>
      </c>
      <c r="EU187" s="20" t="str">
        <f>IF(VLOOKUP(BK187,Fundamentus!A:U,12,FALSE)&lt;2,"Subvalorizada",IF(VLOOKUP(BK187,Fundamentus!A:U,12,FALSE)&lt;6,"Muita barata",IF(VLOOKUP(BK187,Fundamentus!A:U,12,FALSE)&lt;6,"Barata",IF(VLOOKUP(BK187,Fundamentus!A:U,12,FALSE)&lt;8,"Atrativa",IF(VLOOKUP(BK187,Fundamentus!A:U,12,FALSE)&gt;8,"Supervalorizada","n/a")))))</f>
        <v>Supervalorizada</v>
      </c>
      <c r="EW187" s="20" t="str">
        <f>IF(VLOOKUP(BK187,Fundamentus!A:U,17,FALSE)&lt;0.1,"Fraco retorno",IF(VLOOKUP(BK187,Fundamentus!A:U,17,FALSE)&gt;0.1,"Bom retorno","n/a"))</f>
        <v>Bom retorno</v>
      </c>
      <c r="EX187" s="20" t="str">
        <f>IF(VLOOKUP(BK187,Fundamentus!A:U,16,FALSE)&lt;0.1,"Ineficiente",IF(VLOOKUP(BK187,Fundamentus!A:U,16,FALSE)&gt;0.1,"Eficiente","n/a"))</f>
        <v>Eficiente</v>
      </c>
      <c r="EY187" s="41" t="str">
        <f>IF(VLOOKUP(BK187,Fundamentus!A:U,16,FALSE)&lt;0.1,"Oper. Ineficiente",IF(VLOOKUP(BK187,Fundamentus!A:U,16,FALSE)&gt;0.1,"Oper.Eficiente","n/a"))</f>
        <v>Oper.Eficiente</v>
      </c>
      <c r="EZ187" s="42">
        <f>VLOOKUP(BK187,Fundamentus!A:U,14,FALSE)</f>
        <v>0.43969999999999998</v>
      </c>
      <c r="FA187" s="20" t="str">
        <f>IF(VLOOKUP(BK187,Fundamentus!A:U,21,FALSE)&lt;0,"Negativo",IF(VLOOKUP(BK187,Fundamentus!A:U,21,FALSE)&lt;0.05,"Fraco",IF(VLOOKUP(BK187,Fundamentus!A:U,21,FALSE)&lt;0.1,"Bom",IF(VLOOKUP(BK187,Fundamentus!A:U,21,FALSE)&gt;0.1,"Muito bom","n/a"))))</f>
        <v>Fraco</v>
      </c>
      <c r="FC187" s="37" t="str">
        <f>IF(VLOOKUP(BK187,Fundamentus!A:U,15,FALSE)&gt;1,"Bom",IF(VLOOKUP(BK187,Fundamentus!A:U,15,FALSE)&lt;1,"Ruim","n/a"))</f>
        <v>Bom</v>
      </c>
      <c r="FD187" s="20" t="str">
        <f>IF(VLOOKUP(BK187,Fundamentus!A:U,20,FALSE)&lt;0.5,"Baixa",IF(VLOOKUP(BK187,Fundamentus!A:U,20,FALSE)&lt;1,"Moderada",IF(VLOOKUP(BK187,Fundamentus!A:U,20,FALSE)&lt;2,"Alerta",IF(VLOOKUP(BK187,Fundamentus!A:U,20,FALSE)&gt;2,"Alta","n/a"))))</f>
        <v>Moderada</v>
      </c>
      <c r="FE187" s="10"/>
    </row>
    <row r="188" spans="1:161" s="2" customFormat="1" ht="11.25" hidden="1"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8">
        <v>8.8699999999999992</v>
      </c>
      <c r="BC188" s="62">
        <v>8.8699999999999992</v>
      </c>
      <c r="BD188" s="62">
        <v>8.8699999999999992</v>
      </c>
      <c r="BE188" s="62">
        <v>8.8699999999999992</v>
      </c>
      <c r="BF188" s="62">
        <v>8.8699999999999992</v>
      </c>
      <c r="BG188" s="81">
        <v>8.8699999999999992</v>
      </c>
      <c r="BH188" s="62">
        <v>8.8699999999999992</v>
      </c>
      <c r="BI188" s="62">
        <v>8.8699999999999992</v>
      </c>
      <c r="BJ188" s="62" cm="1">
        <f t="array" aca="1" ref="BJ188" ca="1">_FV(EH188,"Preço")</f>
        <v>8.8699999999999992</v>
      </c>
      <c r="BK188" s="83" t="s">
        <v>184</v>
      </c>
      <c r="BL188" s="44" t="e" cm="1" vm="3">
        <f t="array" ref="BL188">_FV(EH188,"Média de volume",TRUE)</f>
        <v>#VALUE!</v>
      </c>
      <c r="BM188" s="44">
        <v>20000</v>
      </c>
      <c r="BN188" s="44" cm="1">
        <f t="array" aca="1" ref="BN188" ca="1">_FV(EH188,"Volume")</f>
        <v>20000</v>
      </c>
      <c r="BO188" s="32" cm="1">
        <f t="array" aca="1" ref="BO188" ca="1">_FV(EH188,"Beta")</f>
        <v>0.82779999999999998</v>
      </c>
      <c r="BP188" s="86" cm="1">
        <f t="array" aca="1" ref="BP188" ca="1">_FV(EH188,"Variação (%)",TRUE)</f>
        <v>0</v>
      </c>
      <c r="BQ188" s="48"/>
      <c r="BR188" s="48"/>
      <c r="BT188" s="20" cm="1">
        <f t="array" aca="1" ref="BT188" ca="1">_FV(EH188,"Baixo")</f>
        <v>8.8699999999999992</v>
      </c>
      <c r="BU188" s="20" cm="1">
        <f t="array" aca="1" ref="BU188" ca="1">_FV(EH188,"Alto")</f>
        <v>8.8800000000000008</v>
      </c>
      <c r="BV188" s="32"/>
      <c r="BW188" s="73" t="e">
        <f ca="1">SQRT(22.5*(BJ188/VLOOKUP(BK188,Fundamentus!A:U,3,FALSE))*(BJ188/VLOOKUP(BK188,Fundamentus!A:U,4,FALSE)))</f>
        <v>#NUM!</v>
      </c>
      <c r="BY188" s="72">
        <f t="shared" ca="1" si="135"/>
        <v>0</v>
      </c>
      <c r="BZ188" s="8"/>
      <c r="CA188" s="71">
        <f t="shared" si="143"/>
        <v>0.46</v>
      </c>
      <c r="CB188" s="71">
        <f t="shared" si="136"/>
        <v>8.8800000000000008</v>
      </c>
      <c r="CC188" s="71">
        <f t="shared" si="144"/>
        <v>5.1895081967213121</v>
      </c>
      <c r="CD188" s="17"/>
      <c r="CE188" s="43">
        <f t="shared" si="141"/>
        <v>8.8699999999999992</v>
      </c>
      <c r="CF188" s="18">
        <f>FORECAST("04/07/2025", BF188:BI188, $BF$5:$BI$5)</f>
        <v>8.8699999999999992</v>
      </c>
      <c r="CG188" s="43">
        <f t="shared" si="142"/>
        <v>8.8699999999999992</v>
      </c>
      <c r="CI188" s="17"/>
      <c r="CJ188" s="20">
        <f>CA188-2*(CB188-CM188)</f>
        <v>-5.160000000000001</v>
      </c>
      <c r="CK188" s="20">
        <f>CM188-(CB188-CA188)</f>
        <v>-2.3499999999999996</v>
      </c>
      <c r="CL188" s="20">
        <f>2*CM188-CB188</f>
        <v>3.26</v>
      </c>
      <c r="CM188" s="48">
        <f>(CB188+CA188+BI188)/3</f>
        <v>6.07</v>
      </c>
      <c r="CN188" s="20">
        <f>2*CM188-CA188</f>
        <v>11.68</v>
      </c>
      <c r="CO188" s="20">
        <f>CM188+(CB188-CA188)</f>
        <v>14.49</v>
      </c>
      <c r="CP188" s="20">
        <f>CB188+2*(CM188-CA188)</f>
        <v>20.100000000000001</v>
      </c>
      <c r="CQ188" s="2" cm="1">
        <f t="array" aca="1" ref="CQ188" ca="1">MAX(_xlfn._xlws.FILTER(CJ188:CP188,CJ188:CP188&lt;BJ188))</f>
        <v>6.07</v>
      </c>
      <c r="CR188" s="2" cm="1">
        <f t="array" aca="1" ref="CR188" ca="1">MIN(_xlfn._xlws.FILTER($CJ188:$CP188,$CJ188:$CP188&gt;BJ188))</f>
        <v>11.68</v>
      </c>
      <c r="CS188" s="19">
        <f t="shared" ca="1" si="179"/>
        <v>0.92421746293245466</v>
      </c>
      <c r="CT188" s="23">
        <f t="shared" ca="1" si="180"/>
        <v>-0.46210873146622733</v>
      </c>
      <c r="CU188" s="23">
        <f t="shared" ca="1" si="181"/>
        <v>-0.30807248764415157</v>
      </c>
      <c r="CV188" s="23">
        <f t="shared" ca="1" si="182"/>
        <v>-0.18484349258649094</v>
      </c>
      <c r="CW188" s="23">
        <f t="shared" ca="1" si="183"/>
        <v>-0.10269082921471719</v>
      </c>
      <c r="CX188" s="23">
        <f t="shared" ca="1" si="184"/>
        <v>-5.4365733113673806E-2</v>
      </c>
      <c r="CY188" s="23">
        <f t="shared" ca="1" si="185"/>
        <v>-2.800658978583196E-2</v>
      </c>
      <c r="CZ188" s="23">
        <f t="shared" ca="1" si="186"/>
        <v>-1.4218730198960841E-2</v>
      </c>
      <c r="DA188" s="24">
        <f t="shared" ca="1" si="187"/>
        <v>1.4218730198960841E-2</v>
      </c>
      <c r="DB188" s="24">
        <f t="shared" ca="1" si="188"/>
        <v>2.800658978583196E-2</v>
      </c>
      <c r="DC188" s="24">
        <f t="shared" ca="1" si="189"/>
        <v>5.4365733113673806E-2</v>
      </c>
      <c r="DD188" s="24">
        <f t="shared" ca="1" si="190"/>
        <v>0.10269082921471719</v>
      </c>
      <c r="DE188" s="24">
        <f t="shared" ca="1" si="191"/>
        <v>0.18484349258649094</v>
      </c>
      <c r="DF188" s="24">
        <f t="shared" ca="1" si="192"/>
        <v>0.30807248764415157</v>
      </c>
      <c r="DG188" s="24">
        <f t="shared" ca="1" si="193"/>
        <v>0.46210873146622733</v>
      </c>
      <c r="DI188" s="19" cm="1">
        <f t="array" aca="1" ref="DI188" ca="1">MAX(_xlfn._xlws.FILTER(CT188:DG188,CT188:DG188&lt;BP188))</f>
        <v>-1.4218730198960841E-2</v>
      </c>
      <c r="DJ188" s="19" cm="1">
        <f t="array" aca="1" ref="DJ188" ca="1">MIN(_xlfn._xlws.FILTER(CT188:DG188,CT188:DG188&gt;BP188))</f>
        <v>1.4218730198960841E-2</v>
      </c>
      <c r="DK188" s="2" cm="1">
        <f t="array" aca="1" ref="DK188" ca="1">_FV(EH188,"Fechamento anterior",TRUE)</f>
        <v>8.8800000000000008</v>
      </c>
      <c r="DL188" s="36">
        <f ca="1">(BJ188-DM188)/(DN188-DM188)</f>
        <v>0.46039990525284019</v>
      </c>
      <c r="DM188" s="18">
        <f t="shared" ca="1" si="194"/>
        <v>8.7537376758332286</v>
      </c>
      <c r="DN188" s="18">
        <f t="shared" ca="1" si="195"/>
        <v>9.006262324166773</v>
      </c>
      <c r="DO188" s="9"/>
      <c r="DP188" s="9"/>
      <c r="DQ188" s="94">
        <v>2.6639676113360315E-2</v>
      </c>
      <c r="DR188" s="94">
        <v>2.6639676113360315E-2</v>
      </c>
      <c r="DS188" s="94">
        <v>2.8437460397921683E-2</v>
      </c>
      <c r="DT188" s="94">
        <f t="shared" ca="1" si="137"/>
        <v>2.8437460397921683E-2</v>
      </c>
      <c r="DU188" s="87" t="e">
        <f ca="1">(BJ188-CF188)/(CF188-CE188)</f>
        <v>#DIV/0!</v>
      </c>
      <c r="DV188" s="46"/>
      <c r="DW188" s="43">
        <f>_xlfn.STDEV.P(BF188:BI188)</f>
        <v>0</v>
      </c>
      <c r="DX188" s="76">
        <f ca="1">BO188-$DT$2</f>
        <v>-0.16930000000000012</v>
      </c>
      <c r="DY188" s="76">
        <f ca="1">BO188-BP188*100</f>
        <v>0.82779999999999998</v>
      </c>
      <c r="DZ188" s="101"/>
      <c r="EA188" s="100">
        <v>0.29870000000000008</v>
      </c>
      <c r="EB188" s="107">
        <v>1.2419000000000002</v>
      </c>
      <c r="EC188" s="107">
        <v>0.18089999999999995</v>
      </c>
      <c r="ED188" s="98">
        <f t="shared" ca="1" si="196"/>
        <v>-0.9971000000000001</v>
      </c>
      <c r="EE188" s="66"/>
      <c r="EF188" s="66"/>
      <c r="EH188" s="2" t="e" vm="190">
        <v>#VALUE!</v>
      </c>
      <c r="EJ188" s="10" cm="1">
        <f t="array" aca="1" ref="EJ188" ca="1">_FV(EH188,"Ações em circulação",TRUE)</f>
        <v>77334810</v>
      </c>
      <c r="EK188" s="21">
        <f>VLOOKUP(BK188,Fundamentus!A:U,5,FALSE)</f>
        <v>0.30299999999999999</v>
      </c>
      <c r="EL188" s="2">
        <f ca="1">(BJ188*EJ188)/EK188</f>
        <v>2263893612.8712869</v>
      </c>
      <c r="EM188" s="20">
        <v>-245632456.99653462</v>
      </c>
      <c r="EN188" s="20">
        <f t="shared" ca="1" si="139"/>
        <v>-245632456.99653462</v>
      </c>
      <c r="EP188" s="19">
        <f t="shared" ca="1" si="134"/>
        <v>0</v>
      </c>
      <c r="EQ188" s="40" t="str">
        <f>IF(VLOOKUP(BK188,Fundamentus!A:U,3,FALSE)&lt;15,"Bom",IF(VLOOKUP(BK188,Fundamentus!A:U,3,FALSE)&gt;15,"Ruim","n/a"))</f>
        <v>Bom</v>
      </c>
      <c r="ER188" s="36" t="str">
        <f>IF(VLOOKUP(BK188,Fundamentus!A:U,4,FALSE)&lt;1,"Baixo",IF(VLOOKUP(BK188,Fundamentus!A:U,4,FALSE)&lt;1.5,"Moderado",IF(VLOOKUP(BK188,Fundamentus!A:U,4,FALSE)&gt;1.5,"Alto","n/a")))</f>
        <v>Baixo</v>
      </c>
      <c r="ES188" s="20" t="str">
        <f>IF(VLOOKUP(BK188,Fundamentus!A:U,8,FALSE)&lt;0,"Risco elevado",IF(VLOOKUP(BK188,Fundamentus!A:U,8,FALSE)&lt;1,"Saudável",IF(VLOOKUP(BK188,Fundamentus!A:U,8,FALSE)&lt;3,"Estável",IF(VLOOKUP(BK188,Fundamentus!A:U,8,FALSE)&gt;3,"Alerta","n/a"))))</f>
        <v>Estável</v>
      </c>
      <c r="ET188" s="36" t="str">
        <f t="shared" si="140"/>
        <v>Ruim</v>
      </c>
      <c r="EU188" s="20" t="str">
        <f>IF(VLOOKUP(BK188,Fundamentus!A:U,12,FALSE)&lt;2,"Subvalorizada",IF(VLOOKUP(BK188,Fundamentus!A:U,12,FALSE)&lt;6,"Muita barata",IF(VLOOKUP(BK188,Fundamentus!A:U,12,FALSE)&lt;6,"Barata",IF(VLOOKUP(BK188,Fundamentus!A:U,12,FALSE)&lt;8,"Atrativa",IF(VLOOKUP(BK188,Fundamentus!A:U,12,FALSE)&gt;8,"Supervalorizada","n/a")))))</f>
        <v>Supervalorizada</v>
      </c>
      <c r="EW188" s="20" t="str">
        <f>IF(VLOOKUP(BK188,Fundamentus!A:U,17,FALSE)&lt;0.1,"Fraco retorno",IF(VLOOKUP(BK188,Fundamentus!A:U,17,FALSE)&gt;0.1,"Bom retorno","n/a"))</f>
        <v>Fraco retorno</v>
      </c>
      <c r="EX188" s="20" t="str">
        <f>IF(VLOOKUP(BK188,Fundamentus!A:U,16,FALSE)&lt;0.1,"Ineficiente",IF(VLOOKUP(BK188,Fundamentus!A:U,16,FALSE)&gt;0.1,"Eficiente","n/a"))</f>
        <v>Ineficiente</v>
      </c>
      <c r="EY188" s="41" t="str">
        <f>IF(VLOOKUP(BK188,Fundamentus!A:U,16,FALSE)&lt;0.1,"Oper. Ineficiente",IF(VLOOKUP(BK188,Fundamentus!A:U,16,FALSE)&gt;0.1,"Oper.Eficiente","n/a"))</f>
        <v>Oper. Ineficiente</v>
      </c>
      <c r="EZ188" s="42">
        <f>VLOOKUP(BK188,Fundamentus!A:U,14,FALSE)</f>
        <v>-0.1085</v>
      </c>
      <c r="FA188" s="20" t="str">
        <f>IF(VLOOKUP(BK188,Fundamentus!A:U,21,FALSE)&lt;0,"Negativo",IF(VLOOKUP(BK188,Fundamentus!A:U,21,FALSE)&lt;0.05,"Fraco",IF(VLOOKUP(BK188,Fundamentus!A:U,21,FALSE)&lt;0.1,"Bom",IF(VLOOKUP(BK188,Fundamentus!A:U,21,FALSE)&gt;0.1,"Muito bom","n/a"))))</f>
        <v>Muito bom</v>
      </c>
      <c r="FC188" s="37" t="str">
        <f>IF(VLOOKUP(BK188,Fundamentus!A:U,15,FALSE)&gt;1,"Bom",IF(VLOOKUP(BK188,Fundamentus!A:U,15,FALSE)&lt;1,"Ruim","n/a"))</f>
        <v>Bom</v>
      </c>
      <c r="FD188" s="20" t="str">
        <f>IF(VLOOKUP(BK188,Fundamentus!A:U,20,FALSE)&lt;0.5,"Baixa",IF(VLOOKUP(BK188,Fundamentus!A:U,20,FALSE)&lt;1,"Moderada",IF(VLOOKUP(BK188,Fundamentus!A:U,20,FALSE)&lt;2,"Alerta",IF(VLOOKUP(BK188,Fundamentus!A:U,20,FALSE)&gt;2,"Alta","n/a"))))</f>
        <v>Alta</v>
      </c>
      <c r="FE188" s="10"/>
    </row>
    <row r="189" spans="1:161" s="2" customFormat="1" ht="11.25" hidden="1"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8">
        <v>1.64</v>
      </c>
      <c r="BC189" s="62">
        <v>1.62</v>
      </c>
      <c r="BD189" s="62">
        <v>1.59</v>
      </c>
      <c r="BE189" s="62">
        <v>1.68</v>
      </c>
      <c r="BF189" s="62">
        <v>1.57</v>
      </c>
      <c r="BG189" s="81">
        <v>1.59</v>
      </c>
      <c r="BH189" s="62">
        <v>1.59</v>
      </c>
      <c r="BI189" s="62">
        <v>1.58</v>
      </c>
      <c r="BJ189" s="62" cm="1">
        <f t="array" aca="1" ref="BJ189" ca="1">_FV(EH189,"Preço")</f>
        <v>1.57</v>
      </c>
      <c r="BK189" s="83" t="s">
        <v>185</v>
      </c>
      <c r="BL189" s="44" cm="1">
        <f t="array" aca="1" ref="BL189" ca="1">_FV(EH189,"Média de volume",TRUE)</f>
        <v>8390</v>
      </c>
      <c r="BM189" s="44">
        <v>2300</v>
      </c>
      <c r="BN189" s="44" cm="1">
        <f t="array" aca="1" ref="BN189" ca="1">_FV(EH189,"Volume")</f>
        <v>2000</v>
      </c>
      <c r="BO189" s="32" cm="1">
        <f t="array" aca="1" ref="BO189" ca="1">_FV(EH189,"Beta")</f>
        <v>0.83279999999999998</v>
      </c>
      <c r="BP189" s="86" cm="1">
        <f t="array" aca="1" ref="BP189" ca="1">_FV(EH189,"Variação (%)",TRUE)</f>
        <v>-6.3290000000000004E-3</v>
      </c>
      <c r="BQ189" s="48"/>
      <c r="BR189" s="48"/>
      <c r="BT189" s="20" cm="1">
        <f t="array" aca="1" ref="BT189" ca="1">_FV(EH189,"Baixo")</f>
        <v>1.57</v>
      </c>
      <c r="BU189" s="20" cm="1">
        <f t="array" aca="1" ref="BU189" ca="1">_FV(EH189,"Alto")</f>
        <v>1.6</v>
      </c>
      <c r="BV189" s="32"/>
      <c r="BW189" s="73">
        <f ca="1">SQRT(22.5*(BJ189/VLOOKUP(BK189,Fundamentus!A:U,3,FALSE))*(BJ189/VLOOKUP(BK189,Fundamentus!A:U,4,FALSE)))</f>
        <v>0.14917406749766893</v>
      </c>
      <c r="BY189" s="72">
        <f t="shared" ca="1" si="135"/>
        <v>-6.329113924050638E-3</v>
      </c>
      <c r="BZ189" s="8"/>
      <c r="CA189" s="71">
        <f t="shared" si="143"/>
        <v>1.56</v>
      </c>
      <c r="CB189" s="71">
        <f t="shared" si="136"/>
        <v>2.84</v>
      </c>
      <c r="CC189" s="71">
        <f t="shared" si="144"/>
        <v>2.0069672131147547</v>
      </c>
      <c r="CD189" s="17"/>
      <c r="CE189" s="43">
        <f t="shared" si="141"/>
        <v>1.5734168760482228</v>
      </c>
      <c r="CF189" s="18">
        <f>FORECAST("04/07/2025", BF189:BI189, $BF$5:$BI$5)</f>
        <v>1.5899999999999999</v>
      </c>
      <c r="CG189" s="43">
        <f t="shared" si="142"/>
        <v>1.6065831239517769</v>
      </c>
      <c r="CI189" s="17"/>
      <c r="CJ189" s="20">
        <f>CA189-2*(CB189-CM189)</f>
        <v>-0.13333333333333286</v>
      </c>
      <c r="CK189" s="20">
        <f>CM189-(CB189-CA189)</f>
        <v>0.7133333333333336</v>
      </c>
      <c r="CL189" s="20">
        <f>2*CM189-CB189</f>
        <v>1.1466666666666669</v>
      </c>
      <c r="CM189" s="48">
        <f>(CB189+CA189+BI189)/3</f>
        <v>1.9933333333333334</v>
      </c>
      <c r="CN189" s="20">
        <f>2*CM189-CA189</f>
        <v>2.4266666666666667</v>
      </c>
      <c r="CO189" s="20">
        <f>CM189+(CB189-CA189)</f>
        <v>3.2733333333333334</v>
      </c>
      <c r="CP189" s="20">
        <f>CB189+2*(CM189-CA189)</f>
        <v>3.7066666666666666</v>
      </c>
      <c r="CQ189" s="2" cm="1">
        <f t="array" aca="1" ref="CQ189" ca="1">MAX(_xlfn._xlws.FILTER(CJ189:CP189,CJ189:CP189&lt;BJ189))</f>
        <v>1.1466666666666669</v>
      </c>
      <c r="CR189" s="2" cm="1">
        <f t="array" aca="1" ref="CR189" ca="1">MIN(_xlfn._xlws.FILTER($CJ189:$CP189,$CJ189:$CP189&gt;BJ189))</f>
        <v>1.9933333333333334</v>
      </c>
      <c r="CS189" s="19">
        <f t="shared" ca="1" si="179"/>
        <v>0.73837209302325535</v>
      </c>
      <c r="CT189" s="23">
        <f t="shared" ca="1" si="180"/>
        <v>-0.36918604651162767</v>
      </c>
      <c r="CU189" s="23">
        <f t="shared" ca="1" si="181"/>
        <v>-0.24612403100775179</v>
      </c>
      <c r="CV189" s="23">
        <f t="shared" ca="1" si="182"/>
        <v>-0.14767441860465108</v>
      </c>
      <c r="CW189" s="23">
        <f t="shared" ca="1" si="183"/>
        <v>-8.2041343669250588E-2</v>
      </c>
      <c r="CX189" s="23">
        <f t="shared" ca="1" si="184"/>
        <v>-4.3433652530779729E-2</v>
      </c>
      <c r="CY189" s="23">
        <f t="shared" ca="1" si="185"/>
        <v>-2.2374911909795618E-2</v>
      </c>
      <c r="CZ189" s="23">
        <f t="shared" ca="1" si="186"/>
        <v>-1.1359570661896237E-2</v>
      </c>
      <c r="DA189" s="24">
        <f t="shared" ca="1" si="187"/>
        <v>1.1359570661896237E-2</v>
      </c>
      <c r="DB189" s="24">
        <f t="shared" ca="1" si="188"/>
        <v>2.2374911909795618E-2</v>
      </c>
      <c r="DC189" s="24">
        <f t="shared" ca="1" si="189"/>
        <v>4.3433652530779729E-2</v>
      </c>
      <c r="DD189" s="24">
        <f t="shared" ca="1" si="190"/>
        <v>8.2041343669250588E-2</v>
      </c>
      <c r="DE189" s="24">
        <f t="shared" ca="1" si="191"/>
        <v>0.14767441860465108</v>
      </c>
      <c r="DF189" s="24">
        <f t="shared" ca="1" si="192"/>
        <v>0.24612403100775179</v>
      </c>
      <c r="DG189" s="24">
        <f t="shared" ca="1" si="193"/>
        <v>0.36918604651162767</v>
      </c>
      <c r="DI189" s="19" cm="1">
        <f t="array" aca="1" ref="DI189" ca="1">MAX(_xlfn._xlws.FILTER(CT189:DG189,CT189:DG189&lt;BP189))</f>
        <v>-1.1359570661896237E-2</v>
      </c>
      <c r="DJ189" s="19" cm="1">
        <f t="array" aca="1" ref="DJ189" ca="1">MIN(_xlfn._xlws.FILTER(CT189:DG189,CT189:DG189&gt;BP189))</f>
        <v>1.1359570661896237E-2</v>
      </c>
      <c r="DK189" s="2" cm="1">
        <f t="array" aca="1" ref="DK189" ca="1">_FV(EH189,"Fechamento anterior",TRUE)</f>
        <v>1.58</v>
      </c>
      <c r="DL189" s="36">
        <f ca="1">(BJ189-DM189)/(DN189-DM189)</f>
        <v>0.22141931625635211</v>
      </c>
      <c r="DM189" s="18">
        <f t="shared" ca="1" si="194"/>
        <v>1.5620518783542041</v>
      </c>
      <c r="DN189" s="18">
        <f t="shared" ca="1" si="195"/>
        <v>1.597948121645796</v>
      </c>
      <c r="DO189" s="9"/>
      <c r="DP189" s="9"/>
      <c r="DQ189" s="94">
        <v>3.5781544256120498E-2</v>
      </c>
      <c r="DR189" s="94">
        <v>2.1472053126729382E-2</v>
      </c>
      <c r="DS189" s="94">
        <v>1.0908551949014368E-2</v>
      </c>
      <c r="DT189" s="94">
        <f t="shared" ca="1" si="137"/>
        <v>2.2719141323792474E-2</v>
      </c>
      <c r="DU189" s="87">
        <f ca="1">(BJ189-CF189)/(CF189-CE189)</f>
        <v>-1.2060453783110363</v>
      </c>
      <c r="DV189" s="46"/>
      <c r="DW189" s="43">
        <f>_xlfn.STDEV.P(BF189:BI189)</f>
        <v>8.2915619758885065E-3</v>
      </c>
      <c r="DX189" s="76">
        <f ca="1">BO189-$DT$2</f>
        <v>-0.16430000000000011</v>
      </c>
      <c r="DY189" s="76">
        <f ca="1">BO189-BP189*100</f>
        <v>1.4657</v>
      </c>
      <c r="DZ189" s="101"/>
      <c r="EA189" s="100">
        <v>-4.5792999999999999</v>
      </c>
      <c r="EB189" s="107">
        <v>3.1650000000000005</v>
      </c>
      <c r="EC189" s="107">
        <v>-0.44799999999999995</v>
      </c>
      <c r="ED189" s="98">
        <f t="shared" ca="1" si="196"/>
        <v>-1.6300000000000001</v>
      </c>
      <c r="EE189" s="66"/>
      <c r="EF189" s="66"/>
      <c r="EH189" s="2" t="e" vm="191">
        <v>#VALUE!</v>
      </c>
      <c r="EJ189" s="10" cm="1">
        <f t="array" aca="1" ref="EJ189" ca="1">_FV(EH189,"Ações em circulação",TRUE)</f>
        <v>260509800</v>
      </c>
      <c r="EK189" s="21">
        <f>VLOOKUP(BK189,Fundamentus!A:U,5,FALSE)</f>
        <v>0.26900000000000002</v>
      </c>
      <c r="EL189" s="2">
        <f ca="1">(BJ189*EJ189)/EK189</f>
        <v>1520447531.5985129</v>
      </c>
      <c r="EM189" s="20">
        <v>72375239.379925638</v>
      </c>
      <c r="EN189" s="20">
        <f t="shared" ca="1" si="139"/>
        <v>71917168.244609669</v>
      </c>
      <c r="EP189" s="19">
        <f t="shared" ca="1" si="134"/>
        <v>-6.3291139240504446E-3</v>
      </c>
      <c r="EQ189" s="40" t="str">
        <f>IF(VLOOKUP(BK189,Fundamentus!A:U,3,FALSE)&lt;15,"Bom",IF(VLOOKUP(BK189,Fundamentus!A:U,3,FALSE)&gt;15,"Ruim","n/a"))</f>
        <v>Bom</v>
      </c>
      <c r="ER189" s="36" t="str">
        <f>IF(VLOOKUP(BK189,Fundamentus!A:U,4,FALSE)&lt;1,"Baixo",IF(VLOOKUP(BK189,Fundamentus!A:U,4,FALSE)&lt;1.5,"Moderado",IF(VLOOKUP(BK189,Fundamentus!A:U,4,FALSE)&gt;1.5,"Alto","n/a")))</f>
        <v>Alto</v>
      </c>
      <c r="ES189" s="20" t="str">
        <f>IF(VLOOKUP(BK189,Fundamentus!A:U,8,FALSE)&lt;0,"Risco elevado",IF(VLOOKUP(BK189,Fundamentus!A:U,8,FALSE)&lt;1,"Saudável",IF(VLOOKUP(BK189,Fundamentus!A:U,8,FALSE)&lt;3,"Estável",IF(VLOOKUP(BK189,Fundamentus!A:U,8,FALSE)&gt;3,"Alerta","n/a"))))</f>
        <v>Risco elevado</v>
      </c>
      <c r="ET189" s="36" t="str">
        <f t="shared" si="140"/>
        <v>Ruim</v>
      </c>
      <c r="EU189" s="20" t="str">
        <f>IF(VLOOKUP(BK189,Fundamentus!A:U,12,FALSE)&lt;2,"Subvalorizada",IF(VLOOKUP(BK189,Fundamentus!A:U,12,FALSE)&lt;6,"Muita barata",IF(VLOOKUP(BK189,Fundamentus!A:U,12,FALSE)&lt;6,"Barata",IF(VLOOKUP(BK189,Fundamentus!A:U,12,FALSE)&lt;8,"Atrativa",IF(VLOOKUP(BK189,Fundamentus!A:U,12,FALSE)&gt;8,"Supervalorizada","n/a")))))</f>
        <v>Muita barata</v>
      </c>
      <c r="EW189" s="20" t="str">
        <f>IF(VLOOKUP(BK189,Fundamentus!A:U,17,FALSE)&lt;0.1,"Fraco retorno",IF(VLOOKUP(BK189,Fundamentus!A:U,17,FALSE)&gt;0.1,"Bom retorno","n/a"))</f>
        <v>Bom retorno</v>
      </c>
      <c r="EX189" s="20" t="str">
        <f>IF(VLOOKUP(BK189,Fundamentus!A:U,16,FALSE)&lt;0.1,"Ineficiente",IF(VLOOKUP(BK189,Fundamentus!A:U,16,FALSE)&gt;0.1,"Eficiente","n/a"))</f>
        <v>Eficiente</v>
      </c>
      <c r="EY189" s="41" t="str">
        <f>IF(VLOOKUP(BK189,Fundamentus!A:U,16,FALSE)&lt;0.1,"Oper. Ineficiente",IF(VLOOKUP(BK189,Fundamentus!A:U,16,FALSE)&gt;0.1,"Oper.Eficiente","n/a"))</f>
        <v>Oper.Eficiente</v>
      </c>
      <c r="EZ189" s="42">
        <f>VLOOKUP(BK189,Fundamentus!A:U,14,FALSE)</f>
        <v>4.7300000000000002E-2</v>
      </c>
      <c r="FA189" s="20" t="str">
        <f>IF(VLOOKUP(BK189,Fundamentus!A:U,21,FALSE)&lt;0,"Negativo",IF(VLOOKUP(BK189,Fundamentus!A:U,21,FALSE)&lt;0.05,"Fraco",IF(VLOOKUP(BK189,Fundamentus!A:U,21,FALSE)&lt;0.1,"Bom",IF(VLOOKUP(BK189,Fundamentus!A:U,21,FALSE)&gt;0.1,"Muito bom","n/a"))))</f>
        <v>Muito bom</v>
      </c>
      <c r="FC189" s="37" t="str">
        <f>IF(VLOOKUP(BK189,Fundamentus!A:U,15,FALSE)&gt;1,"Bom",IF(VLOOKUP(BK189,Fundamentus!A:U,15,FALSE)&lt;1,"Ruim","n/a"))</f>
        <v>Ruim</v>
      </c>
      <c r="FD189" s="20" t="str">
        <f>IF(VLOOKUP(BK189,Fundamentus!A:U,20,FALSE)&lt;0.5,"Baixa",IF(VLOOKUP(BK189,Fundamentus!A:U,20,FALSE)&lt;1,"Moderada",IF(VLOOKUP(BK189,Fundamentus!A:U,20,FALSE)&lt;2,"Alerta",IF(VLOOKUP(BK189,Fundamentus!A:U,20,FALSE)&gt;2,"Alta","n/a"))))</f>
        <v>Alta</v>
      </c>
      <c r="FE189" s="10"/>
    </row>
    <row r="190" spans="1:161" s="2" customFormat="1" ht="11.25" hidden="1"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8">
        <v>4.54</v>
      </c>
      <c r="BC190" s="62">
        <v>4.54</v>
      </c>
      <c r="BD190" s="62">
        <v>4.37</v>
      </c>
      <c r="BE190" s="62">
        <v>4.29</v>
      </c>
      <c r="BF190" s="62">
        <v>4.08</v>
      </c>
      <c r="BG190" s="81">
        <v>4.03</v>
      </c>
      <c r="BH190" s="62">
        <v>4.01</v>
      </c>
      <c r="BI190" s="62">
        <v>4.01</v>
      </c>
      <c r="BJ190" s="62" cm="1">
        <f t="array" aca="1" ref="BJ190" ca="1">_FV(EH190,"Preço")</f>
        <v>4.0199999999999996</v>
      </c>
      <c r="BK190" s="83" t="s">
        <v>186</v>
      </c>
      <c r="BL190" s="44" cm="1">
        <f t="array" aca="1" ref="BL190" ca="1">_FV(EH190,"Média de volume",TRUE)</f>
        <v>66780</v>
      </c>
      <c r="BM190" s="44">
        <v>114300</v>
      </c>
      <c r="BN190" s="44" cm="1">
        <f t="array" aca="1" ref="BN190" ca="1">_FV(EH190,"Volume")</f>
        <v>31900</v>
      </c>
      <c r="BO190" s="32" cm="1">
        <f t="array" aca="1" ref="BO190" ca="1">_FV(EH190,"Beta")</f>
        <v>1.9436</v>
      </c>
      <c r="BP190" s="86" cm="1">
        <f t="array" aca="1" ref="BP190" ca="1">_FV(EH190,"Variação (%)",TRUE)</f>
        <v>2.4940000000000001E-3</v>
      </c>
      <c r="BQ190" s="48"/>
      <c r="BR190" s="48"/>
      <c r="BT190" s="20" cm="1">
        <f t="array" aca="1" ref="BT190" ca="1">_FV(EH190,"Baixo")</f>
        <v>4</v>
      </c>
      <c r="BU190" s="20" cm="1">
        <f t="array" aca="1" ref="BU190" ca="1">_FV(EH190,"Alto")</f>
        <v>4.04</v>
      </c>
      <c r="BV190" s="32"/>
      <c r="BW190" s="73">
        <f ca="1">SQRT(22.5*(BJ190/VLOOKUP(BK190,Fundamentus!A:U,3,FALSE))*(BJ190/VLOOKUP(BK190,Fundamentus!A:U,4,FALSE)))</f>
        <v>11.441486707922078</v>
      </c>
      <c r="BY190" s="72">
        <f t="shared" ca="1" si="135"/>
        <v>2.4937655860348597E-3</v>
      </c>
      <c r="BZ190" s="8"/>
      <c r="CA190" s="71">
        <f t="shared" si="143"/>
        <v>4.01</v>
      </c>
      <c r="CB190" s="71">
        <f t="shared" si="136"/>
        <v>7.15</v>
      </c>
      <c r="CC190" s="71">
        <f t="shared" si="144"/>
        <v>5.4122950819672138</v>
      </c>
      <c r="CD190" s="17"/>
      <c r="CE190" s="43">
        <f t="shared" si="141"/>
        <v>3.9177723842886962</v>
      </c>
      <c r="CF190" s="18">
        <f>FORECAST("04/07/2025", BF190:BI190, $BF$5:$BI$5)</f>
        <v>3.9749999999999943</v>
      </c>
      <c r="CG190" s="43">
        <f t="shared" si="142"/>
        <v>4.0322276157112924</v>
      </c>
      <c r="CI190" s="17"/>
      <c r="CJ190" s="20">
        <f>CA190-2*(CB190-CM190)</f>
        <v>-0.17666666666666764</v>
      </c>
      <c r="CK190" s="20">
        <f>CM190-(CB190-CA190)</f>
        <v>1.9166666666666661</v>
      </c>
      <c r="CL190" s="20">
        <f>2*CM190-CB190</f>
        <v>2.9633333333333329</v>
      </c>
      <c r="CM190" s="48">
        <f>(CB190+CA190+BI190)/3</f>
        <v>5.0566666666666666</v>
      </c>
      <c r="CN190" s="20">
        <f>2*CM190-CA190</f>
        <v>6.1033333333333335</v>
      </c>
      <c r="CO190" s="20">
        <f>CM190+(CB190-CA190)</f>
        <v>8.1966666666666672</v>
      </c>
      <c r="CP190" s="20">
        <f>CB190+2*(CM190-CA190)</f>
        <v>9.2433333333333341</v>
      </c>
      <c r="CQ190" s="2" cm="1">
        <f t="array" aca="1" ref="CQ190" ca="1">MAX(_xlfn._xlws.FILTER(CJ190:CP190,CJ190:CP190&lt;BJ190))</f>
        <v>2.9633333333333329</v>
      </c>
      <c r="CR190" s="2" cm="1">
        <f t="array" aca="1" ref="CR190" ca="1">MIN(_xlfn._xlws.FILTER($CJ190:$CP190,$CJ190:$CP190&gt;BJ190))</f>
        <v>5.0566666666666666</v>
      </c>
      <c r="CS190" s="19">
        <f t="shared" ca="1" si="179"/>
        <v>0.70641169853768293</v>
      </c>
      <c r="CT190" s="23">
        <f t="shared" ca="1" si="180"/>
        <v>-0.35320584926884147</v>
      </c>
      <c r="CU190" s="23">
        <f t="shared" ca="1" si="181"/>
        <v>-0.23547056617922765</v>
      </c>
      <c r="CV190" s="23">
        <f t="shared" ca="1" si="182"/>
        <v>-0.14128233970753659</v>
      </c>
      <c r="CW190" s="23">
        <f t="shared" ca="1" si="183"/>
        <v>-7.8490188726409213E-2</v>
      </c>
      <c r="CX190" s="23">
        <f t="shared" ca="1" si="184"/>
        <v>-4.1553629325746057E-2</v>
      </c>
      <c r="CY190" s="23">
        <f t="shared" ca="1" si="185"/>
        <v>-2.1406415107202512E-2</v>
      </c>
      <c r="CZ190" s="23">
        <f t="shared" ca="1" si="186"/>
        <v>-1.0867872285195122E-2</v>
      </c>
      <c r="DA190" s="24">
        <f t="shared" ca="1" si="187"/>
        <v>1.0867872285195122E-2</v>
      </c>
      <c r="DB190" s="24">
        <f t="shared" ca="1" si="188"/>
        <v>2.1406415107202512E-2</v>
      </c>
      <c r="DC190" s="24">
        <f t="shared" ca="1" si="189"/>
        <v>4.1553629325746057E-2</v>
      </c>
      <c r="DD190" s="24">
        <f t="shared" ca="1" si="190"/>
        <v>7.8490188726409213E-2</v>
      </c>
      <c r="DE190" s="24">
        <f t="shared" ca="1" si="191"/>
        <v>0.14128233970753659</v>
      </c>
      <c r="DF190" s="24">
        <f t="shared" ca="1" si="192"/>
        <v>0.23547056617922765</v>
      </c>
      <c r="DG190" s="24">
        <f t="shared" ca="1" si="193"/>
        <v>0.35320584926884147</v>
      </c>
      <c r="DI190" s="19" cm="1">
        <f t="array" aca="1" ref="DI190" ca="1">MAX(_xlfn._xlws.FILTER(CT190:DG190,CT190:DG190&lt;BP190))</f>
        <v>-1.0867872285195122E-2</v>
      </c>
      <c r="DJ190" s="19" cm="1">
        <f t="array" aca="1" ref="DJ190" ca="1">MIN(_xlfn._xlws.FILTER(CT190:DG190,CT190:DG190&gt;BP190))</f>
        <v>1.0867872285195122E-2</v>
      </c>
      <c r="DK190" s="2" cm="1">
        <f t="array" aca="1" ref="DK190" ca="1">_FV(EH190,"Fechamento anterior",TRUE)</f>
        <v>4.01</v>
      </c>
      <c r="DL190" s="36">
        <f ca="1">(BJ190-DM190)/(DN190-DM190)</f>
        <v>0.61473108629699114</v>
      </c>
      <c r="DM190" s="18">
        <f t="shared" ca="1" si="194"/>
        <v>3.9664198321363675</v>
      </c>
      <c r="DN190" s="18">
        <f t="shared" ca="1" si="195"/>
        <v>4.0535801678636325</v>
      </c>
      <c r="DO190" s="9"/>
      <c r="DP190" s="9"/>
      <c r="DQ190" s="94">
        <v>8.5248085248085283E-3</v>
      </c>
      <c r="DR190" s="94">
        <v>9.9889931951000696E-3</v>
      </c>
      <c r="DS190" s="94">
        <v>1.9840347206076102E-2</v>
      </c>
      <c r="DT190" s="94">
        <f t="shared" ca="1" si="137"/>
        <v>2.1735744570390243E-2</v>
      </c>
      <c r="DU190" s="87">
        <f ca="1">(BJ190-CF190)/(CF190-CE190)</f>
        <v>0.78633365099502461</v>
      </c>
      <c r="DV190" s="46"/>
      <c r="DW190" s="43">
        <f>_xlfn.STDEV.P(BF190:BI190)</f>
        <v>2.8613807855649102E-2</v>
      </c>
      <c r="DX190" s="76">
        <f ca="1">BO190-$DT$2</f>
        <v>0.9464999999999999</v>
      </c>
      <c r="DY190" s="76">
        <f ca="1">BO190-BP190*100</f>
        <v>1.6941999999999999</v>
      </c>
      <c r="DZ190" s="101"/>
      <c r="EA190" s="100">
        <v>-0.44019999999999992</v>
      </c>
      <c r="EB190" s="107">
        <v>0.74560000000000004</v>
      </c>
      <c r="EC190" s="107">
        <v>-0.31540000000000035</v>
      </c>
      <c r="ED190" s="98">
        <f t="shared" ca="1" si="196"/>
        <v>-0.74770000000000003</v>
      </c>
      <c r="EE190" s="66"/>
      <c r="EF190" s="66"/>
      <c r="EH190" s="2" t="e" vm="192">
        <v>#VALUE!</v>
      </c>
      <c r="EJ190" s="10" cm="1">
        <f t="array" aca="1" ref="EJ190" ca="1">_FV(EH190,"Ações em circulação",TRUE)</f>
        <v>61776580</v>
      </c>
      <c r="EK190" s="21">
        <f>VLOOKUP(BK190,Fundamentus!A:U,5,FALSE)</f>
        <v>0.21099999999999999</v>
      </c>
      <c r="EL190" s="2">
        <f ca="1">(BJ190*EJ190)/EK190</f>
        <v>1176975599.9999998</v>
      </c>
      <c r="EM190" s="20">
        <v>27707528.079999998</v>
      </c>
      <c r="EN190" s="20">
        <f t="shared" ca="1" si="139"/>
        <v>27776624.159999993</v>
      </c>
      <c r="EP190" s="19">
        <f t="shared" ca="1" si="134"/>
        <v>2.4937655860346464E-3</v>
      </c>
      <c r="EQ190" s="40" t="str">
        <f>IF(VLOOKUP(BK190,Fundamentus!A:U,3,FALSE)&lt;15,"Bom",IF(VLOOKUP(BK190,Fundamentus!A:U,3,FALSE)&gt;15,"Ruim","n/a"))</f>
        <v>Bom</v>
      </c>
      <c r="ER190" s="36" t="str">
        <f>IF(VLOOKUP(BK190,Fundamentus!A:U,4,FALSE)&lt;1,"Baixo",IF(VLOOKUP(BK190,Fundamentus!A:U,4,FALSE)&lt;1.5,"Moderado",IF(VLOOKUP(BK190,Fundamentus!A:U,4,FALSE)&gt;1.5,"Alto","n/a")))</f>
        <v>Baixo</v>
      </c>
      <c r="ES190" s="20" t="str">
        <f>IF(VLOOKUP(BK190,Fundamentus!A:U,8,FALSE)&lt;0,"Risco elevado",IF(VLOOKUP(BK190,Fundamentus!A:U,8,FALSE)&lt;1,"Saudável",IF(VLOOKUP(BK190,Fundamentus!A:U,8,FALSE)&lt;3,"Estável",IF(VLOOKUP(BK190,Fundamentus!A:U,8,FALSE)&gt;3,"Alerta","n/a"))))</f>
        <v>Estável</v>
      </c>
      <c r="ET190" s="36" t="str">
        <f t="shared" si="140"/>
        <v>Ruim</v>
      </c>
      <c r="EU190" s="20" t="str">
        <f>IF(VLOOKUP(BK190,Fundamentus!A:U,12,FALSE)&lt;2,"Subvalorizada",IF(VLOOKUP(BK190,Fundamentus!A:U,12,FALSE)&lt;6,"Muita barata",IF(VLOOKUP(BK190,Fundamentus!A:U,12,FALSE)&lt;6,"Barata",IF(VLOOKUP(BK190,Fundamentus!A:U,12,FALSE)&lt;8,"Atrativa",IF(VLOOKUP(BK190,Fundamentus!A:U,12,FALSE)&gt;8,"Supervalorizada","n/a")))))</f>
        <v>Muita barata</v>
      </c>
      <c r="EW190" s="20" t="str">
        <f>IF(VLOOKUP(BK190,Fundamentus!A:U,17,FALSE)&lt;0.1,"Fraco retorno",IF(VLOOKUP(BK190,Fundamentus!A:U,17,FALSE)&gt;0.1,"Bom retorno","n/a"))</f>
        <v>Fraco retorno</v>
      </c>
      <c r="EX190" s="20" t="str">
        <f>IF(VLOOKUP(BK190,Fundamentus!A:U,16,FALSE)&lt;0.1,"Ineficiente",IF(VLOOKUP(BK190,Fundamentus!A:U,16,FALSE)&gt;0.1,"Eficiente","n/a"))</f>
        <v>Ineficiente</v>
      </c>
      <c r="EY190" s="41" t="str">
        <f>IF(VLOOKUP(BK190,Fundamentus!A:U,16,FALSE)&lt;0.1,"Oper. Ineficiente",IF(VLOOKUP(BK190,Fundamentus!A:U,16,FALSE)&gt;0.1,"Oper.Eficiente","n/a"))</f>
        <v>Oper. Ineficiente</v>
      </c>
      <c r="EZ190" s="42">
        <f>VLOOKUP(BK190,Fundamentus!A:U,14,FALSE)</f>
        <v>2.3599999999999999E-2</v>
      </c>
      <c r="FA190" s="20" t="str">
        <f>IF(VLOOKUP(BK190,Fundamentus!A:U,21,FALSE)&lt;0,"Negativo",IF(VLOOKUP(BK190,Fundamentus!A:U,21,FALSE)&lt;0.05,"Fraco",IF(VLOOKUP(BK190,Fundamentus!A:U,21,FALSE)&lt;0.1,"Bom",IF(VLOOKUP(BK190,Fundamentus!A:U,21,FALSE)&gt;0.1,"Muito bom","n/a"))))</f>
        <v>Bom</v>
      </c>
      <c r="FC190" s="37" t="str">
        <f>IF(VLOOKUP(BK190,Fundamentus!A:U,15,FALSE)&gt;1,"Bom",IF(VLOOKUP(BK190,Fundamentus!A:U,15,FALSE)&lt;1,"Ruim","n/a"))</f>
        <v>Bom</v>
      </c>
      <c r="FD190" s="20" t="str">
        <f>IF(VLOOKUP(BK190,Fundamentus!A:U,20,FALSE)&lt;0.5,"Baixa",IF(VLOOKUP(BK190,Fundamentus!A:U,20,FALSE)&lt;1,"Moderada",IF(VLOOKUP(BK190,Fundamentus!A:U,20,FALSE)&lt;2,"Alerta",IF(VLOOKUP(BK190,Fundamentus!A:U,20,FALSE)&gt;2,"Alta","n/a"))))</f>
        <v>Baixa</v>
      </c>
      <c r="FE190" s="10"/>
    </row>
    <row r="191" spans="1:161" s="2" customFormat="1" ht="11.25" hidden="1"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8">
        <v>0.89</v>
      </c>
      <c r="BC191" s="62">
        <v>0.94</v>
      </c>
      <c r="BD191" s="62">
        <v>1.1200000000000001</v>
      </c>
      <c r="BE191" s="62">
        <v>1</v>
      </c>
      <c r="BF191" s="62">
        <v>1.01</v>
      </c>
      <c r="BG191" s="81">
        <v>1.02</v>
      </c>
      <c r="BH191" s="62">
        <v>1.03</v>
      </c>
      <c r="BI191" s="62">
        <v>1.03</v>
      </c>
      <c r="BJ191" s="62" cm="1">
        <f t="array" aca="1" ref="BJ191" ca="1">_FV(EH191,"Preço")</f>
        <v>1.04</v>
      </c>
      <c r="BK191" s="83" t="s">
        <v>180</v>
      </c>
      <c r="BL191" s="44" cm="1">
        <f t="array" aca="1" ref="BL191" ca="1">_FV(EH191,"Média de volume",TRUE)</f>
        <v>302470</v>
      </c>
      <c r="BM191" s="44">
        <v>356000</v>
      </c>
      <c r="BN191" s="44" cm="1">
        <f t="array" aca="1" ref="BN191" ca="1">_FV(EH191,"Volume")</f>
        <v>71600</v>
      </c>
      <c r="BO191" s="32" cm="1">
        <f t="array" aca="1" ref="BO191" ca="1">_FV(EH191,"Beta")</f>
        <v>1.6073999999999999</v>
      </c>
      <c r="BP191" s="86" cm="1">
        <f t="array" aca="1" ref="BP191" ca="1">_FV(EH191,"Variação (%)",TRUE)</f>
        <v>9.7090000000000006E-3</v>
      </c>
      <c r="BQ191" s="48"/>
      <c r="BR191" s="48"/>
      <c r="BT191" s="20" cm="1">
        <f t="array" aca="1" ref="BT191" ca="1">_FV(EH191,"Baixo")</f>
        <v>1.02</v>
      </c>
      <c r="BU191" s="20" cm="1">
        <f t="array" aca="1" ref="BU191" ca="1">_FV(EH191,"Alto")</f>
        <v>1.05</v>
      </c>
      <c r="BV191" s="32"/>
      <c r="BW191" s="73">
        <f ca="1">SQRT(22.5*(BJ191/VLOOKUP(BK191,Fundamentus!A:U,3,FALSE))*(BJ191/VLOOKUP(BK191,Fundamentus!A:U,4,FALSE)))</f>
        <v>1.1695585749412192</v>
      </c>
      <c r="BY191" s="72">
        <f t="shared" ca="1" si="135"/>
        <v>9.7087378640776777E-3</v>
      </c>
      <c r="BZ191" s="8"/>
      <c r="CA191" s="71">
        <f t="shared" si="143"/>
        <v>0.67</v>
      </c>
      <c r="CB191" s="71">
        <f t="shared" si="136"/>
        <v>1.18</v>
      </c>
      <c r="CC191" s="71">
        <f t="shared" si="144"/>
        <v>0.923606557377049</v>
      </c>
      <c r="CD191" s="17"/>
      <c r="CE191" s="43">
        <f t="shared" si="141"/>
        <v>1.0234168760482221</v>
      </c>
      <c r="CF191" s="18">
        <f>FORECAST("04/07/2025", BF191:BI191, $BF$5:$BI$5)</f>
        <v>1.0399999999999991</v>
      </c>
      <c r="CG191" s="43">
        <f t="shared" si="142"/>
        <v>1.0565831239517762</v>
      </c>
      <c r="CI191" s="17"/>
      <c r="CJ191" s="20">
        <f>CA191-2*(CB191-CM191)</f>
        <v>0.23000000000000009</v>
      </c>
      <c r="CK191" s="20">
        <f>CM191-(CB191-CA191)</f>
        <v>0.45000000000000007</v>
      </c>
      <c r="CL191" s="20">
        <f>2*CM191-CB191</f>
        <v>0.74</v>
      </c>
      <c r="CM191" s="48">
        <f>(CB191+CA191+BI191)/3</f>
        <v>0.96</v>
      </c>
      <c r="CN191" s="20">
        <f>2*CM191-CA191</f>
        <v>1.25</v>
      </c>
      <c r="CO191" s="20">
        <f>CM191+(CB191-CA191)</f>
        <v>1.4699999999999998</v>
      </c>
      <c r="CP191" s="20">
        <f>CB191+2*(CM191-CA191)</f>
        <v>1.7599999999999998</v>
      </c>
      <c r="CQ191" s="2" cm="1">
        <f t="array" aca="1" ref="CQ191" ca="1">MAX(_xlfn._xlws.FILTER(CJ191:CP191,CJ191:CP191&lt;BJ191))</f>
        <v>0.96</v>
      </c>
      <c r="CR191" s="2" cm="1">
        <f t="array" aca="1" ref="CR191" ca="1">MIN(_xlfn._xlws.FILTER($CJ191:$CP191,$CJ191:$CP191&gt;BJ191))</f>
        <v>1.25</v>
      </c>
      <c r="CS191" s="19">
        <f t="shared" ca="1" si="179"/>
        <v>0.30208333333333348</v>
      </c>
      <c r="CT191" s="23">
        <f t="shared" ca="1" si="180"/>
        <v>-0.15104166666666674</v>
      </c>
      <c r="CU191" s="23">
        <f t="shared" ca="1" si="181"/>
        <v>-0.10069444444444449</v>
      </c>
      <c r="CV191" s="23">
        <f t="shared" ca="1" si="182"/>
        <v>-6.0416666666666695E-2</v>
      </c>
      <c r="CW191" s="23">
        <f t="shared" ca="1" si="183"/>
        <v>-3.3564814814814832E-2</v>
      </c>
      <c r="CX191" s="23">
        <f t="shared" ca="1" si="184"/>
        <v>-1.7769607843137265E-2</v>
      </c>
      <c r="CY191" s="23">
        <f t="shared" ca="1" si="185"/>
        <v>-9.1540404040404092E-3</v>
      </c>
      <c r="CZ191" s="23">
        <f t="shared" ca="1" si="186"/>
        <v>-4.6474358974359E-3</v>
      </c>
      <c r="DA191" s="24">
        <f t="shared" ca="1" si="187"/>
        <v>4.6474358974359E-3</v>
      </c>
      <c r="DB191" s="24">
        <f t="shared" ca="1" si="188"/>
        <v>9.1540404040404092E-3</v>
      </c>
      <c r="DC191" s="24">
        <f t="shared" ca="1" si="189"/>
        <v>1.7769607843137265E-2</v>
      </c>
      <c r="DD191" s="24">
        <f t="shared" ca="1" si="190"/>
        <v>3.3564814814814832E-2</v>
      </c>
      <c r="DE191" s="24">
        <f t="shared" ca="1" si="191"/>
        <v>6.0416666666666695E-2</v>
      </c>
      <c r="DF191" s="24">
        <f t="shared" ca="1" si="192"/>
        <v>0.10069444444444449</v>
      </c>
      <c r="DG191" s="24">
        <f t="shared" ca="1" si="193"/>
        <v>0.15104166666666674</v>
      </c>
      <c r="DI191" s="19" cm="1">
        <f t="array" aca="1" ref="DI191" ca="1">MAX(_xlfn._xlws.FILTER(CT191:DG191,CT191:DG191&lt;BP191))</f>
        <v>9.1540404040404092E-3</v>
      </c>
      <c r="DJ191" s="19" cm="1">
        <f t="array" aca="1" ref="DJ191" ca="1">MIN(_xlfn._xlws.FILTER(CT191:DG191,CT191:DG191&gt;BP191))</f>
        <v>1.7769607843137265E-2</v>
      </c>
      <c r="DK191" s="2" cm="1">
        <f t="array" aca="1" ref="DK191" ca="1">_FV(EH191,"Fechamento anterior",TRUE)</f>
        <v>1.03</v>
      </c>
      <c r="DL191" s="36">
        <f ca="1">(BJ191-DM191)/(DN191-DM191)</f>
        <v>6.4383160361566646E-2</v>
      </c>
      <c r="DM191" s="18">
        <f t="shared" ca="1" si="194"/>
        <v>1.0394286616161617</v>
      </c>
      <c r="DN191" s="18">
        <f t="shared" ca="1" si="195"/>
        <v>1.0483026960784314</v>
      </c>
      <c r="DO191" s="9"/>
      <c r="DP191" s="9"/>
      <c r="DQ191" s="94">
        <v>2.5079365079365049E-2</v>
      </c>
      <c r="DR191" s="94">
        <v>8.0468551056786242E-3</v>
      </c>
      <c r="DS191" s="94">
        <v>8.5462122764848655E-3</v>
      </c>
      <c r="DT191" s="94">
        <f t="shared" ca="1" si="137"/>
        <v>8.6155674390968554E-3</v>
      </c>
      <c r="DU191" s="87">
        <f ca="1">(BJ191-CF191)/(CF191-CE191)</f>
        <v>5.3559173909747343E-14</v>
      </c>
      <c r="DV191" s="46"/>
      <c r="DW191" s="43">
        <f>_xlfn.STDEV.P(BF191:BI191)</f>
        <v>8.2915619758885065E-3</v>
      </c>
      <c r="DX191" s="76">
        <f ca="1">BO191-$DT$2</f>
        <v>0.61029999999999984</v>
      </c>
      <c r="DY191" s="76">
        <f ca="1">BO191-BP191*100</f>
        <v>0.63649999999999984</v>
      </c>
      <c r="DZ191" s="101"/>
      <c r="EA191" s="100">
        <v>-1.6244000000000003</v>
      </c>
      <c r="EB191" s="107">
        <v>2.2223000000000002</v>
      </c>
      <c r="EC191" s="107">
        <v>-0.78060000000000018</v>
      </c>
      <c r="ED191" s="98">
        <f t="shared" ca="1" si="196"/>
        <v>-2.6200000000000001E-2</v>
      </c>
      <c r="EE191" s="66"/>
      <c r="EF191" s="66"/>
      <c r="EH191" s="2" t="e" vm="193">
        <v>#VALUE!</v>
      </c>
      <c r="EJ191" s="10" cm="1">
        <f t="array" aca="1" ref="EJ191" ca="1">_FV(EH191,"Ações em circulação",TRUE)</f>
        <v>361423100</v>
      </c>
      <c r="EK191" s="21">
        <f>VLOOKUP(BK191,Fundamentus!A:U,5,FALSE)</f>
        <v>0.35599999999999998</v>
      </c>
      <c r="EL191" s="2">
        <f ca="1">(BJ191*EJ191)/EK191</f>
        <v>1055842764.0449439</v>
      </c>
      <c r="EM191" s="20">
        <v>8260954.3952247202</v>
      </c>
      <c r="EN191" s="20">
        <f t="shared" ca="1" si="139"/>
        <v>8341157.8359550582</v>
      </c>
      <c r="EP191" s="19">
        <f t="shared" ca="1" si="134"/>
        <v>9.7087378640778876E-3</v>
      </c>
      <c r="EQ191" s="40" t="str">
        <f>IF(VLOOKUP(BK191,Fundamentus!A:U,3,FALSE)&lt;15,"Bom",IF(VLOOKUP(BK191,Fundamentus!A:U,3,FALSE)&gt;15,"Ruim","n/a"))</f>
        <v>Ruim</v>
      </c>
      <c r="ER191" s="36" t="str">
        <f>IF(VLOOKUP(BK191,Fundamentus!A:U,4,FALSE)&lt;1,"Baixo",IF(VLOOKUP(BK191,Fundamentus!A:U,4,FALSE)&lt;1.5,"Moderado",IF(VLOOKUP(BK191,Fundamentus!A:U,4,FALSE)&gt;1.5,"Alto","n/a")))</f>
        <v>Baixo</v>
      </c>
      <c r="ES191" s="20" t="str">
        <f>IF(VLOOKUP(BK191,Fundamentus!A:U,8,FALSE)&lt;0,"Risco elevado",IF(VLOOKUP(BK191,Fundamentus!A:U,8,FALSE)&lt;1,"Saudável",IF(VLOOKUP(BK191,Fundamentus!A:U,8,FALSE)&lt;3,"Estável",IF(VLOOKUP(BK191,Fundamentus!A:U,8,FALSE)&gt;3,"Alerta","n/a"))))</f>
        <v>Estável</v>
      </c>
      <c r="ET191" s="36" t="str">
        <f t="shared" si="140"/>
        <v>Ruim</v>
      </c>
      <c r="EU191" s="20" t="str">
        <f>IF(VLOOKUP(BK191,Fundamentus!A:U,12,FALSE)&lt;2,"Subvalorizada",IF(VLOOKUP(BK191,Fundamentus!A:U,12,FALSE)&lt;6,"Muita barata",IF(VLOOKUP(BK191,Fundamentus!A:U,12,FALSE)&lt;6,"Barata",IF(VLOOKUP(BK191,Fundamentus!A:U,12,FALSE)&lt;8,"Atrativa",IF(VLOOKUP(BK191,Fundamentus!A:U,12,FALSE)&gt;8,"Supervalorizada","n/a")))))</f>
        <v>Muita barata</v>
      </c>
      <c r="EW191" s="20" t="str">
        <f>IF(VLOOKUP(BK191,Fundamentus!A:U,17,FALSE)&lt;0.1,"Fraco retorno",IF(VLOOKUP(BK191,Fundamentus!A:U,17,FALSE)&gt;0.1,"Bom retorno","n/a"))</f>
        <v>Fraco retorno</v>
      </c>
      <c r="EX191" s="20" t="str">
        <f>IF(VLOOKUP(BK191,Fundamentus!A:U,16,FALSE)&lt;0.1,"Ineficiente",IF(VLOOKUP(BK191,Fundamentus!A:U,16,FALSE)&gt;0.1,"Eficiente","n/a"))</f>
        <v>Ineficiente</v>
      </c>
      <c r="EY191" s="41" t="str">
        <f>IF(VLOOKUP(BK191,Fundamentus!A:U,16,FALSE)&lt;0.1,"Oper. Ineficiente",IF(VLOOKUP(BK191,Fundamentus!A:U,16,FALSE)&gt;0.1,"Oper.Eficiente","n/a"))</f>
        <v>Oper. Ineficiente</v>
      </c>
      <c r="EZ191" s="42">
        <f>VLOOKUP(BK191,Fundamentus!A:U,14,FALSE)</f>
        <v>7.9000000000000008E-3</v>
      </c>
      <c r="FA191" s="20" t="str">
        <f>IF(VLOOKUP(BK191,Fundamentus!A:U,21,FALSE)&lt;0,"Negativo",IF(VLOOKUP(BK191,Fundamentus!A:U,21,FALSE)&lt;0.05,"Fraco",IF(VLOOKUP(BK191,Fundamentus!A:U,21,FALSE)&lt;0.1,"Bom",IF(VLOOKUP(BK191,Fundamentus!A:U,21,FALSE)&gt;0.1,"Muito bom","n/a"))))</f>
        <v>Muito bom</v>
      </c>
      <c r="FC191" s="37" t="str">
        <f>IF(VLOOKUP(BK191,Fundamentus!A:U,15,FALSE)&gt;1,"Bom",IF(VLOOKUP(BK191,Fundamentus!A:U,15,FALSE)&lt;1,"Ruim","n/a"))</f>
        <v>Bom</v>
      </c>
      <c r="FD191" s="20" t="str">
        <f>IF(VLOOKUP(BK191,Fundamentus!A:U,20,FALSE)&lt;0.5,"Baixa",IF(VLOOKUP(BK191,Fundamentus!A:U,20,FALSE)&lt;1,"Moderada",IF(VLOOKUP(BK191,Fundamentus!A:U,20,FALSE)&lt;2,"Alerta",IF(VLOOKUP(BK191,Fundamentus!A:U,20,FALSE)&gt;2,"Alta","n/a"))))</f>
        <v>Moderada</v>
      </c>
      <c r="FE191" s="10"/>
    </row>
    <row r="192" spans="1:161" s="2" customFormat="1" ht="11.25" hidden="1"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8">
        <v>4.5599999999999996</v>
      </c>
      <c r="BC192" s="62">
        <v>4.4400000000000004</v>
      </c>
      <c r="BD192" s="62">
        <v>4.95</v>
      </c>
      <c r="BE192" s="62">
        <v>4.74</v>
      </c>
      <c r="BF192" s="62">
        <v>4.66</v>
      </c>
      <c r="BG192" s="81">
        <v>4.4000000000000004</v>
      </c>
      <c r="BH192" s="62">
        <v>4.7300000000000004</v>
      </c>
      <c r="BI192" s="62">
        <v>4.59</v>
      </c>
      <c r="BJ192" s="62" cm="1">
        <f t="array" aca="1" ref="BJ192" ca="1">_FV(EH192,"Preço")</f>
        <v>4.6900000000000004</v>
      </c>
      <c r="BK192" s="83" t="s">
        <v>188</v>
      </c>
      <c r="BL192" s="44" cm="1">
        <f t="array" aca="1" ref="BL192" ca="1">_FV(EH192,"Média de volume",TRUE)</f>
        <v>203750</v>
      </c>
      <c r="BM192" s="44">
        <v>276400</v>
      </c>
      <c r="BN192" s="44" cm="1">
        <f t="array" aca="1" ref="BN192" ca="1">_FV(EH192,"Volume")</f>
        <v>42400</v>
      </c>
      <c r="BO192" s="32" cm="1">
        <f t="array" aca="1" ref="BO192" ca="1">_FV(EH192,"Beta")</f>
        <v>1.5704</v>
      </c>
      <c r="BP192" s="86" cm="1">
        <f t="array" aca="1" ref="BP192" ca="1">_FV(EH192,"Variação (%)",TRUE)</f>
        <v>2.1786E-2</v>
      </c>
      <c r="BQ192" s="48"/>
      <c r="BR192" s="48"/>
      <c r="BT192" s="20" cm="1">
        <f t="array" aca="1" ref="BT192" ca="1">_FV(EH192,"Baixo")</f>
        <v>4.5599999999999996</v>
      </c>
      <c r="BU192" s="20" cm="1">
        <f t="array" aca="1" ref="BU192" ca="1">_FV(EH192,"Alto")</f>
        <v>4.75</v>
      </c>
      <c r="BV192" s="32"/>
      <c r="BW192" s="73" t="e">
        <f ca="1">SQRT(22.5*(BJ192/VLOOKUP(BK192,Fundamentus!A:U,3,FALSE))*(BJ192/VLOOKUP(BK192,Fundamentus!A:U,4,FALSE)))</f>
        <v>#NUM!</v>
      </c>
      <c r="BY192" s="72">
        <f t="shared" ca="1" si="135"/>
        <v>2.1786492374727785E-2</v>
      </c>
      <c r="BZ192" s="8"/>
      <c r="CA192" s="71">
        <f t="shared" si="143"/>
        <v>3.51</v>
      </c>
      <c r="CB192" s="71">
        <f t="shared" si="136"/>
        <v>5.81</v>
      </c>
      <c r="CC192" s="71">
        <f t="shared" si="144"/>
        <v>4.4156557377049186</v>
      </c>
      <c r="CD192" s="17"/>
      <c r="CE192" s="43">
        <f t="shared" si="141"/>
        <v>4.3790325224750086</v>
      </c>
      <c r="CF192" s="18">
        <f>FORECAST("04/07/2025", BF192:BI192, $BF$5:$BI$5)</f>
        <v>4.6249999999999858</v>
      </c>
      <c r="CG192" s="43">
        <f t="shared" si="142"/>
        <v>4.870967477524963</v>
      </c>
      <c r="CI192" s="17"/>
      <c r="CJ192" s="20">
        <f>CA192-2*(CB192-CM192)</f>
        <v>1.163333333333334</v>
      </c>
      <c r="CK192" s="20">
        <f>CM192-(CB192-CA192)</f>
        <v>2.3366666666666669</v>
      </c>
      <c r="CL192" s="20">
        <f>2*CM192-CB192</f>
        <v>3.4633333333333338</v>
      </c>
      <c r="CM192" s="48">
        <f>(CB192+CA192+BI192)/3</f>
        <v>4.6366666666666667</v>
      </c>
      <c r="CN192" s="20">
        <f>2*CM192-CA192</f>
        <v>5.7633333333333336</v>
      </c>
      <c r="CO192" s="20">
        <f>CM192+(CB192-CA192)</f>
        <v>6.9366666666666665</v>
      </c>
      <c r="CP192" s="20">
        <f>CB192+2*(CM192-CA192)</f>
        <v>8.0633333333333326</v>
      </c>
      <c r="CQ192" s="2" cm="1">
        <f t="array" aca="1" ref="CQ192" ca="1">MAX(_xlfn._xlws.FILTER(CJ192:CP192,CJ192:CP192&lt;BJ192))</f>
        <v>4.6366666666666667</v>
      </c>
      <c r="CR192" s="2" cm="1">
        <f t="array" aca="1" ref="CR192" ca="1">MIN(_xlfn._xlws.FILTER($CJ192:$CP192,$CJ192:$CP192&gt;BJ192))</f>
        <v>5.7633333333333336</v>
      </c>
      <c r="CS192" s="19">
        <f t="shared" ca="1" si="179"/>
        <v>0.2429906542056075</v>
      </c>
      <c r="CT192" s="23">
        <f t="shared" ca="1" si="180"/>
        <v>-0.12149532710280375</v>
      </c>
      <c r="CU192" s="23">
        <f t="shared" ca="1" si="181"/>
        <v>-8.0996884735202501E-2</v>
      </c>
      <c r="CV192" s="23">
        <f t="shared" ca="1" si="182"/>
        <v>-4.8598130841121502E-2</v>
      </c>
      <c r="CW192" s="23">
        <f t="shared" ca="1" si="183"/>
        <v>-2.6998961578400833E-2</v>
      </c>
      <c r="CX192" s="23">
        <f t="shared" ca="1" si="184"/>
        <v>-1.4293567894447501E-2</v>
      </c>
      <c r="CY192" s="23">
        <f t="shared" ca="1" si="185"/>
        <v>-7.3633531577456815E-3</v>
      </c>
      <c r="CZ192" s="23">
        <f t="shared" ca="1" si="186"/>
        <v>-3.7383177570093464E-3</v>
      </c>
      <c r="DA192" s="24">
        <f t="shared" ca="1" si="187"/>
        <v>3.7383177570093464E-3</v>
      </c>
      <c r="DB192" s="24">
        <f t="shared" ca="1" si="188"/>
        <v>7.3633531577456815E-3</v>
      </c>
      <c r="DC192" s="24">
        <f t="shared" ca="1" si="189"/>
        <v>1.4293567894447501E-2</v>
      </c>
      <c r="DD192" s="24">
        <f t="shared" ca="1" si="190"/>
        <v>2.6998961578400833E-2</v>
      </c>
      <c r="DE192" s="24">
        <f t="shared" ca="1" si="191"/>
        <v>4.8598130841121502E-2</v>
      </c>
      <c r="DF192" s="24">
        <f t="shared" ca="1" si="192"/>
        <v>8.0996884735202501E-2</v>
      </c>
      <c r="DG192" s="24">
        <f t="shared" ca="1" si="193"/>
        <v>0.12149532710280375</v>
      </c>
      <c r="DI192" s="19" cm="1">
        <f t="array" aca="1" ref="DI192" ca="1">MAX(_xlfn._xlws.FILTER(CT192:DG192,CT192:DG192&lt;BP192))</f>
        <v>1.4293567894447501E-2</v>
      </c>
      <c r="DJ192" s="19" cm="1">
        <f t="array" aca="1" ref="DJ192" ca="1">MIN(_xlfn._xlws.FILTER(CT192:DG192,CT192:DG192&gt;BP192))</f>
        <v>2.6998961578400833E-2</v>
      </c>
      <c r="DK192" s="2" cm="1">
        <f t="array" aca="1" ref="DK192" ca="1">_FV(EH192,"Fechamento anterior",TRUE)</f>
        <v>4.59</v>
      </c>
      <c r="DL192" s="36">
        <f ca="1">(BJ192-DM192)/(DN192-DM192)</f>
        <v>0.58974358974359875</v>
      </c>
      <c r="DM192" s="18">
        <f t="shared" ca="1" si="194"/>
        <v>4.655607476635514</v>
      </c>
      <c r="DN192" s="18">
        <f t="shared" ca="1" si="195"/>
        <v>4.7139252336448596</v>
      </c>
      <c r="DO192" s="9"/>
      <c r="DP192" s="9"/>
      <c r="DQ192" s="94">
        <v>5.5159182205168156E-3</v>
      </c>
      <c r="DR192" s="94">
        <v>9.373455799571058E-3</v>
      </c>
      <c r="DS192" s="94">
        <v>1.0570534634705751E-2</v>
      </c>
      <c r="DT192" s="94">
        <f t="shared" ca="1" si="137"/>
        <v>1.2705393683953332E-2</v>
      </c>
      <c r="DU192" s="87">
        <f ca="1">(BJ192-CF192)/(CF192-CE192)</f>
        <v>0.2642625791591251</v>
      </c>
      <c r="DV192" s="46"/>
      <c r="DW192" s="43">
        <f>_xlfn.STDEV.P(BF192:BI192)</f>
        <v>0.12298373876248844</v>
      </c>
      <c r="DX192" s="76">
        <f ca="1">BO192-$DT$2</f>
        <v>0.57329999999999992</v>
      </c>
      <c r="DY192" s="76">
        <f ca="1">BO192-BP192*100</f>
        <v>-0.60819999999999985</v>
      </c>
      <c r="DZ192" s="101"/>
      <c r="EA192" s="100">
        <v>1.3879999999999999</v>
      </c>
      <c r="EB192" s="107">
        <v>3.1816</v>
      </c>
      <c r="EC192" s="107">
        <v>-2.3668999999999998</v>
      </c>
      <c r="ED192" s="98">
        <f t="shared" ca="1" si="196"/>
        <v>1.1814999999999998</v>
      </c>
      <c r="EE192" s="66"/>
      <c r="EF192" s="66"/>
      <c r="EH192" s="2" t="e" vm="194">
        <v>#VALUE!</v>
      </c>
      <c r="EJ192" s="10" cm="1">
        <f t="array" aca="1" ref="EJ192" ca="1">_FV(EH192,"Ações em circulação",TRUE)</f>
        <v>339428000</v>
      </c>
      <c r="EK192" s="21">
        <f>VLOOKUP(BK192,Fundamentus!A:U,5,FALSE)</f>
        <v>0.69699999999999995</v>
      </c>
      <c r="EL192" s="2">
        <f ca="1">(BJ192*EJ192)/EK192</f>
        <v>2283955982.7833576</v>
      </c>
      <c r="EM192" s="20">
        <v>-364794033.95121956</v>
      </c>
      <c r="EN192" s="20">
        <f t="shared" ca="1" si="139"/>
        <v>-372741616.39024401</v>
      </c>
      <c r="EP192" s="19">
        <f t="shared" ca="1" si="134"/>
        <v>2.1786492374727739E-2</v>
      </c>
      <c r="EQ192" s="40" t="str">
        <f>IF(VLOOKUP(BK192,Fundamentus!A:U,3,FALSE)&lt;15,"Bom",IF(VLOOKUP(BK192,Fundamentus!A:U,3,FALSE)&gt;15,"Ruim","n/a"))</f>
        <v>Bom</v>
      </c>
      <c r="ER192" s="36" t="str">
        <f>IF(VLOOKUP(BK192,Fundamentus!A:U,4,FALSE)&lt;1,"Baixo",IF(VLOOKUP(BK192,Fundamentus!A:U,4,FALSE)&lt;1.5,"Moderado",IF(VLOOKUP(BK192,Fundamentus!A:U,4,FALSE)&gt;1.5,"Alto","n/a")))</f>
        <v>Moderado</v>
      </c>
      <c r="ES192" s="20" t="str">
        <f>IF(VLOOKUP(BK192,Fundamentus!A:U,8,FALSE)&lt;0,"Risco elevado",IF(VLOOKUP(BK192,Fundamentus!A:U,8,FALSE)&lt;1,"Saudável",IF(VLOOKUP(BK192,Fundamentus!A:U,8,FALSE)&lt;3,"Estável",IF(VLOOKUP(BK192,Fundamentus!A:U,8,FALSE)&gt;3,"Alerta","n/a"))))</f>
        <v>Estável</v>
      </c>
      <c r="ET192" s="36" t="str">
        <f t="shared" si="140"/>
        <v>Ruim</v>
      </c>
      <c r="EU192" s="20" t="str">
        <f>IF(VLOOKUP(BK192,Fundamentus!A:U,12,FALSE)&lt;2,"Subvalorizada",IF(VLOOKUP(BK192,Fundamentus!A:U,12,FALSE)&lt;6,"Muita barata",IF(VLOOKUP(BK192,Fundamentus!A:U,12,FALSE)&lt;6,"Barata",IF(VLOOKUP(BK192,Fundamentus!A:U,12,FALSE)&lt;8,"Atrativa",IF(VLOOKUP(BK192,Fundamentus!A:U,12,FALSE)&gt;8,"Supervalorizada","n/a")))))</f>
        <v>Muita barata</v>
      </c>
      <c r="EW192" s="20" t="str">
        <f>IF(VLOOKUP(BK192,Fundamentus!A:U,17,FALSE)&lt;0.1,"Fraco retorno",IF(VLOOKUP(BK192,Fundamentus!A:U,17,FALSE)&gt;0.1,"Bom retorno","n/a"))</f>
        <v>Fraco retorno</v>
      </c>
      <c r="EX192" s="20" t="str">
        <f>IF(VLOOKUP(BK192,Fundamentus!A:U,16,FALSE)&lt;0.1,"Ineficiente",IF(VLOOKUP(BK192,Fundamentus!A:U,16,FALSE)&gt;0.1,"Eficiente","n/a"))</f>
        <v>Ineficiente</v>
      </c>
      <c r="EY192" s="41" t="str">
        <f>IF(VLOOKUP(BK192,Fundamentus!A:U,16,FALSE)&lt;0.1,"Oper. Ineficiente",IF(VLOOKUP(BK192,Fundamentus!A:U,16,FALSE)&gt;0.1,"Oper.Eficiente","n/a"))</f>
        <v>Oper. Ineficiente</v>
      </c>
      <c r="EZ192" s="42">
        <f>VLOOKUP(BK192,Fundamentus!A:U,14,FALSE)</f>
        <v>-0.16320000000000001</v>
      </c>
      <c r="FA192" s="20" t="str">
        <f>IF(VLOOKUP(BK192,Fundamentus!A:U,21,FALSE)&lt;0,"Negativo",IF(VLOOKUP(BK192,Fundamentus!A:U,21,FALSE)&lt;0.05,"Fraco",IF(VLOOKUP(BK192,Fundamentus!A:U,21,FALSE)&lt;0.1,"Bom",IF(VLOOKUP(BK192,Fundamentus!A:U,21,FALSE)&gt;0.1,"Muito bom","n/a"))))</f>
        <v>Muito bom</v>
      </c>
      <c r="FC192" s="37" t="str">
        <f>IF(VLOOKUP(BK192,Fundamentus!A:U,15,FALSE)&gt;1,"Bom",IF(VLOOKUP(BK192,Fundamentus!A:U,15,FALSE)&lt;1,"Ruim","n/a"))</f>
        <v>Bom</v>
      </c>
      <c r="FD192" s="20" t="str">
        <f>IF(VLOOKUP(BK192,Fundamentus!A:U,20,FALSE)&lt;0.5,"Baixa",IF(VLOOKUP(BK192,Fundamentus!A:U,20,FALSE)&lt;1,"Moderada",IF(VLOOKUP(BK192,Fundamentus!A:U,20,FALSE)&lt;2,"Alerta",IF(VLOOKUP(BK192,Fundamentus!A:U,20,FALSE)&gt;2,"Alta","n/a"))))</f>
        <v>Moderada</v>
      </c>
      <c r="FE192" s="10"/>
    </row>
    <row r="193" spans="1:161" s="2" customFormat="1" ht="11.25" hidden="1"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8">
        <v>7</v>
      </c>
      <c r="BC193" s="62">
        <v>6.97</v>
      </c>
      <c r="BD193" s="62">
        <v>7.89</v>
      </c>
      <c r="BE193" s="62">
        <v>9</v>
      </c>
      <c r="BF193" s="62">
        <v>8.19</v>
      </c>
      <c r="BG193" s="81">
        <v>7.2</v>
      </c>
      <c r="BH193" s="62">
        <v>7.85</v>
      </c>
      <c r="BI193" s="62">
        <v>7.27</v>
      </c>
      <c r="BJ193" s="62" cm="1">
        <f t="array" aca="1" ref="BJ193" ca="1">_FV(EH193,"Preço")</f>
        <v>7.26</v>
      </c>
      <c r="BK193" s="83" t="s">
        <v>189</v>
      </c>
      <c r="BL193" s="44" cm="1">
        <f t="array" aca="1" ref="BL193" ca="1">_FV(EH193,"Média de volume",TRUE)</f>
        <v>18460</v>
      </c>
      <c r="BM193" s="44">
        <v>4600</v>
      </c>
      <c r="BN193" s="44" cm="1">
        <f t="array" aca="1" ref="BN193" ca="1">_FV(EH193,"Volume")</f>
        <v>2300</v>
      </c>
      <c r="BO193" s="32" cm="1">
        <f t="array" aca="1" ref="BO193" ca="1">_FV(EH193,"Beta")</f>
        <v>0.58940000000000003</v>
      </c>
      <c r="BP193" s="86" cm="1">
        <f t="array" aca="1" ref="BP193" ca="1">_FV(EH193,"Variação (%)",TRUE)</f>
        <v>-1.3760000000000001E-3</v>
      </c>
      <c r="BQ193" s="48"/>
      <c r="BR193" s="48"/>
      <c r="BT193" s="20" cm="1">
        <f t="array" aca="1" ref="BT193" ca="1">_FV(EH193,"Baixo")</f>
        <v>7.22</v>
      </c>
      <c r="BU193" s="20" cm="1">
        <f t="array" aca="1" ref="BU193" ca="1">_FV(EH193,"Alto")</f>
        <v>7.37</v>
      </c>
      <c r="BV193" s="32"/>
      <c r="BW193" s="73" t="e">
        <f ca="1">SQRT(22.5*(BJ193/VLOOKUP(BK193,Fundamentus!A:U,3,FALSE))*(BJ193/VLOOKUP(BK193,Fundamentus!A:U,4,FALSE)))</f>
        <v>#NUM!</v>
      </c>
      <c r="BY193" s="72">
        <f t="shared" ca="1" si="135"/>
        <v>-1.3755158184318827E-3</v>
      </c>
      <c r="BZ193" s="8"/>
      <c r="CA193" s="71">
        <f t="shared" si="143"/>
        <v>0.52</v>
      </c>
      <c r="CB193" s="71">
        <f t="shared" si="136"/>
        <v>9</v>
      </c>
      <c r="CC193" s="71">
        <f t="shared" si="144"/>
        <v>4.9356557377049173</v>
      </c>
      <c r="CD193" s="17"/>
      <c r="CE193" s="43">
        <f t="shared" si="141"/>
        <v>6.2775189971797838</v>
      </c>
      <c r="CF193" s="18">
        <f>FORECAST("04/07/2025", BF193:BI193, $BF$5:$BI$5)</f>
        <v>7.0999999999999091</v>
      </c>
      <c r="CG193" s="43">
        <f t="shared" si="142"/>
        <v>7.9224810028200343</v>
      </c>
      <c r="CI193" s="17"/>
      <c r="CJ193" s="20">
        <f>CA193-2*(CB193-CM193)</f>
        <v>-6.2866666666666671</v>
      </c>
      <c r="CK193" s="20">
        <f>CM193-(CB193-CA193)</f>
        <v>-2.8833333333333337</v>
      </c>
      <c r="CL193" s="20">
        <f>2*CM193-CB193</f>
        <v>2.1933333333333334</v>
      </c>
      <c r="CM193" s="48">
        <f>(CB193+CA193+BI193)/3</f>
        <v>5.5966666666666667</v>
      </c>
      <c r="CN193" s="20">
        <f>2*CM193-CA193</f>
        <v>10.673333333333334</v>
      </c>
      <c r="CO193" s="20">
        <f>CM193+(CB193-CA193)</f>
        <v>14.076666666666668</v>
      </c>
      <c r="CP193" s="20">
        <f>CB193+2*(CM193-CA193)</f>
        <v>19.153333333333332</v>
      </c>
      <c r="CQ193" s="2" cm="1">
        <f t="array" aca="1" ref="CQ193" ca="1">MAX(_xlfn._xlws.FILTER(CJ193:CP193,CJ193:CP193&lt;BJ193))</f>
        <v>5.5966666666666667</v>
      </c>
      <c r="CR193" s="2" cm="1">
        <f t="array" aca="1" ref="CR193" ca="1">MIN(_xlfn._xlws.FILTER($CJ193:$CP193,$CJ193:$CP193&gt;BJ193))</f>
        <v>10.673333333333334</v>
      </c>
      <c r="CS193" s="19">
        <f t="shared" ca="1" si="179"/>
        <v>0.90708755211435377</v>
      </c>
      <c r="CT193" s="23">
        <f t="shared" ca="1" si="180"/>
        <v>-0.45354377605717688</v>
      </c>
      <c r="CU193" s="23">
        <f t="shared" ca="1" si="181"/>
        <v>-0.30236251737145126</v>
      </c>
      <c r="CV193" s="23">
        <f t="shared" ca="1" si="182"/>
        <v>-0.18141751042287074</v>
      </c>
      <c r="CW193" s="23">
        <f t="shared" ca="1" si="183"/>
        <v>-0.10078750579048375</v>
      </c>
      <c r="CX193" s="23">
        <f t="shared" ca="1" si="184"/>
        <v>-5.3358091300844339E-2</v>
      </c>
      <c r="CY193" s="23">
        <f t="shared" ca="1" si="185"/>
        <v>-2.7487501579222841E-2</v>
      </c>
      <c r="CZ193" s="23">
        <f t="shared" ca="1" si="186"/>
        <v>-1.3955193109451597E-2</v>
      </c>
      <c r="DA193" s="24">
        <f t="shared" ca="1" si="187"/>
        <v>1.3955193109451597E-2</v>
      </c>
      <c r="DB193" s="24">
        <f t="shared" ca="1" si="188"/>
        <v>2.7487501579222841E-2</v>
      </c>
      <c r="DC193" s="24">
        <f t="shared" ca="1" si="189"/>
        <v>5.3358091300844339E-2</v>
      </c>
      <c r="DD193" s="24">
        <f t="shared" ca="1" si="190"/>
        <v>0.10078750579048375</v>
      </c>
      <c r="DE193" s="24">
        <f t="shared" ca="1" si="191"/>
        <v>0.18141751042287074</v>
      </c>
      <c r="DF193" s="24">
        <f t="shared" ca="1" si="192"/>
        <v>0.30236251737145126</v>
      </c>
      <c r="DG193" s="24">
        <f t="shared" ca="1" si="193"/>
        <v>0.45354377605717688</v>
      </c>
      <c r="DI193" s="19" cm="1">
        <f t="array" aca="1" ref="DI193" ca="1">MAX(_xlfn._xlws.FILTER(CT193:DG193,CT193:DG193&lt;BP193))</f>
        <v>-1.3955193109451597E-2</v>
      </c>
      <c r="DJ193" s="19" cm="1">
        <f t="array" aca="1" ref="DJ193" ca="1">MIN(_xlfn._xlws.FILTER(CT193:DG193,CT193:DG193&gt;BP193))</f>
        <v>1.3955193109451597E-2</v>
      </c>
      <c r="DK193" s="2" cm="1">
        <f t="array" aca="1" ref="DK193" ca="1">_FV(EH193,"Fechamento anterior",TRUE)</f>
        <v>7.27</v>
      </c>
      <c r="DL193" s="36">
        <f ca="1">(BJ193-DM193)/(DN193-DM193)</f>
        <v>0.45071670425326199</v>
      </c>
      <c r="DM193" s="18">
        <f t="shared" ca="1" si="194"/>
        <v>7.1685457460942867</v>
      </c>
      <c r="DN193" s="18">
        <f t="shared" ca="1" si="195"/>
        <v>7.3714542539057124</v>
      </c>
      <c r="DO193" s="9"/>
      <c r="DP193" s="9"/>
      <c r="DQ193" s="94">
        <v>2.6810428065658198E-2</v>
      </c>
      <c r="DR193" s="94">
        <v>2.6810428065658198E-2</v>
      </c>
      <c r="DS193" s="94">
        <v>2.5859495603374014E-2</v>
      </c>
      <c r="DT193" s="94">
        <f t="shared" ca="1" si="137"/>
        <v>2.7910386218903193E-2</v>
      </c>
      <c r="DU193" s="87">
        <f ca="1">(BJ193-CF193)/(CF193-CE193)</f>
        <v>0.19453336849298922</v>
      </c>
      <c r="DV193" s="46"/>
      <c r="DW193" s="43">
        <f>_xlfn.STDEV.P(BF193:BI193)</f>
        <v>0.4112405014100628</v>
      </c>
      <c r="DX193" s="76">
        <f ca="1">BO193-$DT$2</f>
        <v>-0.40770000000000006</v>
      </c>
      <c r="DY193" s="76">
        <f ca="1">BO193-BP193*100</f>
        <v>0.72700000000000009</v>
      </c>
      <c r="DZ193" s="101"/>
      <c r="EA193" s="100">
        <v>-3.1495999999999995</v>
      </c>
      <c r="EB193" s="107">
        <v>13.384799999999998</v>
      </c>
      <c r="EC193" s="107">
        <v>-0.23009999999999997</v>
      </c>
      <c r="ED193" s="98">
        <f t="shared" ca="1" si="196"/>
        <v>-1.1347</v>
      </c>
      <c r="EE193" s="66"/>
      <c r="EF193" s="66"/>
      <c r="EH193" s="2" t="e" vm="195">
        <v>#VALUE!</v>
      </c>
      <c r="EJ193" s="10" cm="1">
        <f t="array" aca="1" ref="EJ193" ca="1">_FV(EH193,"Ações em circulação",TRUE)</f>
        <v>40021020</v>
      </c>
      <c r="EK193" s="21">
        <f>VLOOKUP(BK193,Fundamentus!A:U,5,FALSE)</f>
        <v>6.9340000000000002</v>
      </c>
      <c r="EL193" s="2">
        <f ca="1">(BJ193*EJ193)/EK193</f>
        <v>41902596.654167868</v>
      </c>
      <c r="EM193" s="20">
        <v>-86769732.761127755</v>
      </c>
      <c r="EN193" s="20">
        <f t="shared" ca="1" si="139"/>
        <v>-86650379.621153727</v>
      </c>
      <c r="EP193" s="19">
        <f t="shared" ca="1" si="134"/>
        <v>-1.3755158184317606E-3</v>
      </c>
      <c r="EQ193" s="40" t="str">
        <f>IF(VLOOKUP(BK193,Fundamentus!A:U,3,FALSE)&lt;15,"Bom",IF(VLOOKUP(BK193,Fundamentus!A:U,3,FALSE)&gt;15,"Ruim","n/a"))</f>
        <v>Bom</v>
      </c>
      <c r="ER193" s="36" t="str">
        <f>IF(VLOOKUP(BK193,Fundamentus!A:U,4,FALSE)&lt;1,"Baixo",IF(VLOOKUP(BK193,Fundamentus!A:U,4,FALSE)&lt;1.5,"Moderado",IF(VLOOKUP(BK193,Fundamentus!A:U,4,FALSE)&gt;1.5,"Alto","n/a")))</f>
        <v>Alto</v>
      </c>
      <c r="ES193" s="20" t="str">
        <f>IF(VLOOKUP(BK193,Fundamentus!A:U,8,FALSE)&lt;0,"Risco elevado",IF(VLOOKUP(BK193,Fundamentus!A:U,8,FALSE)&lt;1,"Saudável",IF(VLOOKUP(BK193,Fundamentus!A:U,8,FALSE)&lt;3,"Estável",IF(VLOOKUP(BK193,Fundamentus!A:U,8,FALSE)&gt;3,"Alerta","n/a"))))</f>
        <v>Alerta</v>
      </c>
      <c r="ET193" s="36" t="str">
        <f t="shared" si="140"/>
        <v>Bom</v>
      </c>
      <c r="EU193" s="20" t="str">
        <f>IF(VLOOKUP(BK193,Fundamentus!A:U,12,FALSE)&lt;2,"Subvalorizada",IF(VLOOKUP(BK193,Fundamentus!A:U,12,FALSE)&lt;6,"Muita barata",IF(VLOOKUP(BK193,Fundamentus!A:U,12,FALSE)&lt;6,"Barata",IF(VLOOKUP(BK193,Fundamentus!A:U,12,FALSE)&lt;8,"Atrativa",IF(VLOOKUP(BK193,Fundamentus!A:U,12,FALSE)&gt;8,"Supervalorizada","n/a")))))</f>
        <v>Subvalorizada</v>
      </c>
      <c r="EW193" s="20" t="str">
        <f>IF(VLOOKUP(BK193,Fundamentus!A:U,17,FALSE)&lt;0.1,"Fraco retorno",IF(VLOOKUP(BK193,Fundamentus!A:U,17,FALSE)&gt;0.1,"Bom retorno","n/a"))</f>
        <v>Fraco retorno</v>
      </c>
      <c r="EX193" s="20" t="str">
        <f>IF(VLOOKUP(BK193,Fundamentus!A:U,16,FALSE)&lt;0.1,"Ineficiente",IF(VLOOKUP(BK193,Fundamentus!A:U,16,FALSE)&gt;0.1,"Eficiente","n/a"))</f>
        <v>Ineficiente</v>
      </c>
      <c r="EY193" s="41" t="str">
        <f>IF(VLOOKUP(BK193,Fundamentus!A:U,16,FALSE)&lt;0.1,"Oper. Ineficiente",IF(VLOOKUP(BK193,Fundamentus!A:U,16,FALSE)&gt;0.1,"Oper.Eficiente","n/a"))</f>
        <v>Oper. Ineficiente</v>
      </c>
      <c r="EZ193" s="42">
        <f>VLOOKUP(BK193,Fundamentus!A:U,14,FALSE)</f>
        <v>-2.0678999999999998</v>
      </c>
      <c r="FA193" s="20" t="str">
        <f>IF(VLOOKUP(BK193,Fundamentus!A:U,21,FALSE)&lt;0,"Negativo",IF(VLOOKUP(BK193,Fundamentus!A:U,21,FALSE)&lt;0.05,"Fraco",IF(VLOOKUP(BK193,Fundamentus!A:U,21,FALSE)&lt;0.1,"Bom",IF(VLOOKUP(BK193,Fundamentus!A:U,21,FALSE)&gt;0.1,"Muito bom","n/a"))))</f>
        <v>Negativo</v>
      </c>
      <c r="FC193" s="37" t="str">
        <f>IF(VLOOKUP(BK193,Fundamentus!A:U,15,FALSE)&gt;1,"Bom",IF(VLOOKUP(BK193,Fundamentus!A:U,15,FALSE)&lt;1,"Ruim","n/a"))</f>
        <v>Bom</v>
      </c>
      <c r="FD193" s="20" t="str">
        <f>IF(VLOOKUP(BK193,Fundamentus!A:U,20,FALSE)&lt;0.5,"Baixa",IF(VLOOKUP(BK193,Fundamentus!A:U,20,FALSE)&lt;1,"Moderada",IF(VLOOKUP(BK193,Fundamentus!A:U,20,FALSE)&lt;2,"Alerta",IF(VLOOKUP(BK193,Fundamentus!A:U,20,FALSE)&gt;2,"Alta","n/a"))))</f>
        <v>Baixa</v>
      </c>
      <c r="FE193" s="10"/>
    </row>
    <row r="194" spans="1:161" s="2" customFormat="1" ht="11.25" hidden="1"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8">
        <v>20.3</v>
      </c>
      <c r="BC194" s="62">
        <v>21.38</v>
      </c>
      <c r="BD194" s="62">
        <v>20.32</v>
      </c>
      <c r="BE194" s="62">
        <v>20.3</v>
      </c>
      <c r="BF194" s="62">
        <v>19.61</v>
      </c>
      <c r="BG194" s="81">
        <v>19.5</v>
      </c>
      <c r="BH194" s="62">
        <v>19.7</v>
      </c>
      <c r="BI194" s="62">
        <v>20.71</v>
      </c>
      <c r="BJ194" s="62" cm="1">
        <f t="array" aca="1" ref="BJ194" ca="1">_FV(EH194,"Preço")</f>
        <v>21.08</v>
      </c>
      <c r="BK194" s="83" t="s">
        <v>190</v>
      </c>
      <c r="BL194" s="44" cm="1">
        <f t="array" aca="1" ref="BL194" ca="1">_FV(EH194,"Média de volume",TRUE)</f>
        <v>554270</v>
      </c>
      <c r="BM194" s="44">
        <v>673900</v>
      </c>
      <c r="BN194" s="44" cm="1">
        <f t="array" aca="1" ref="BN194" ca="1">_FV(EH194,"Volume")</f>
        <v>264400</v>
      </c>
      <c r="BO194" s="32" cm="1">
        <f t="array" aca="1" ref="BO194" ca="1">_FV(EH194,"Beta")</f>
        <v>0.83169999999999999</v>
      </c>
      <c r="BP194" s="86" cm="1">
        <f t="array" aca="1" ref="BP194" ca="1">_FV(EH194,"Variação (%)",TRUE)</f>
        <v>1.7866E-2</v>
      </c>
      <c r="BQ194" s="48"/>
      <c r="BR194" s="48"/>
      <c r="BT194" s="20" cm="1">
        <f t="array" aca="1" ref="BT194" ca="1">_FV(EH194,"Baixo")</f>
        <v>20.49</v>
      </c>
      <c r="BU194" s="20" cm="1">
        <f t="array" aca="1" ref="BU194" ca="1">_FV(EH194,"Alto")</f>
        <v>21.08</v>
      </c>
      <c r="BV194" s="32"/>
      <c r="BW194" s="73">
        <f ca="1">SQRT(22.5*(BJ194/VLOOKUP(BK194,Fundamentus!A:U,3,FALSE))*(BJ194/VLOOKUP(BK194,Fundamentus!A:U,4,FALSE)))</f>
        <v>21.161985154864503</v>
      </c>
      <c r="BY194" s="72">
        <f t="shared" ca="1" si="135"/>
        <v>1.7865765330757965E-2</v>
      </c>
      <c r="BZ194" s="8"/>
      <c r="CA194" s="71">
        <f t="shared" si="143"/>
        <v>14.46</v>
      </c>
      <c r="CB194" s="71">
        <f t="shared" si="136"/>
        <v>21.38</v>
      </c>
      <c r="CC194" s="71">
        <f t="shared" si="144"/>
        <v>16.737950819672132</v>
      </c>
      <c r="CD194" s="17"/>
      <c r="CE194" s="43">
        <f t="shared" si="141"/>
        <v>19.786186292417479</v>
      </c>
      <c r="CF194" s="18">
        <f>FORECAST("04/07/2025", BF194:BI194, $BF$5:$BI$5)</f>
        <v>20.755000000000109</v>
      </c>
      <c r="CG194" s="43">
        <f t="shared" si="142"/>
        <v>21.723813707582739</v>
      </c>
      <c r="CI194" s="17"/>
      <c r="CJ194" s="20">
        <f>CA194-2*(CB194-CM194)</f>
        <v>9.4000000000000057</v>
      </c>
      <c r="CK194" s="20">
        <f>CM194-(CB194-CA194)</f>
        <v>11.930000000000003</v>
      </c>
      <c r="CL194" s="20">
        <f>2*CM194-CB194</f>
        <v>16.320000000000004</v>
      </c>
      <c r="CM194" s="48">
        <f>(CB194+CA194+BI194)/3</f>
        <v>18.850000000000001</v>
      </c>
      <c r="CN194" s="20">
        <f>2*CM194-CA194</f>
        <v>23.240000000000002</v>
      </c>
      <c r="CO194" s="20">
        <f>CM194+(CB194-CA194)</f>
        <v>25.77</v>
      </c>
      <c r="CP194" s="20">
        <f>CB194+2*(CM194-CA194)</f>
        <v>30.16</v>
      </c>
      <c r="CQ194" s="2" cm="1">
        <f t="array" aca="1" ref="CQ194" ca="1">MAX(_xlfn._xlws.FILTER(CJ194:CP194,CJ194:CP194&lt;BJ194))</f>
        <v>18.850000000000001</v>
      </c>
      <c r="CR194" s="2" cm="1">
        <f t="array" aca="1" ref="CR194" ca="1">MIN(_xlfn._xlws.FILTER($CJ194:$CP194,$CJ194:$CP194&gt;BJ194))</f>
        <v>23.240000000000002</v>
      </c>
      <c r="CS194" s="19">
        <f t="shared" ca="1" si="179"/>
        <v>0.23289124668435024</v>
      </c>
      <c r="CT194" s="23">
        <f t="shared" ca="1" si="180"/>
        <v>-0.11644562334217512</v>
      </c>
      <c r="CU194" s="23">
        <f t="shared" ca="1" si="181"/>
        <v>-7.7630415561450075E-2</v>
      </c>
      <c r="CV194" s="23">
        <f t="shared" ca="1" si="182"/>
        <v>-4.6578249336870048E-2</v>
      </c>
      <c r="CW194" s="23">
        <f t="shared" ca="1" si="183"/>
        <v>-2.5876805187150027E-2</v>
      </c>
      <c r="CX194" s="23">
        <f t="shared" ca="1" si="184"/>
        <v>-1.3699485099079426E-2</v>
      </c>
      <c r="CY194" s="23">
        <f t="shared" ca="1" si="185"/>
        <v>-7.0573105055863712E-3</v>
      </c>
      <c r="CZ194" s="23">
        <f t="shared" ca="1" si="186"/>
        <v>-3.5829422566823112E-3</v>
      </c>
      <c r="DA194" s="24">
        <f t="shared" ca="1" si="187"/>
        <v>3.5829422566823112E-3</v>
      </c>
      <c r="DB194" s="24">
        <f t="shared" ca="1" si="188"/>
        <v>7.0573105055863712E-3</v>
      </c>
      <c r="DC194" s="24">
        <f t="shared" ca="1" si="189"/>
        <v>1.3699485099079426E-2</v>
      </c>
      <c r="DD194" s="24">
        <f t="shared" ca="1" si="190"/>
        <v>2.5876805187150027E-2</v>
      </c>
      <c r="DE194" s="24">
        <f t="shared" ca="1" si="191"/>
        <v>4.6578249336870048E-2</v>
      </c>
      <c r="DF194" s="24">
        <f t="shared" ca="1" si="192"/>
        <v>7.7630415561450075E-2</v>
      </c>
      <c r="DG194" s="24">
        <f t="shared" ca="1" si="193"/>
        <v>0.11644562334217512</v>
      </c>
      <c r="DI194" s="19" cm="1">
        <f t="array" aca="1" ref="DI194" ca="1">MAX(_xlfn._xlws.FILTER(CT194:DG194,CT194:DG194&lt;BP194))</f>
        <v>1.3699485099079426E-2</v>
      </c>
      <c r="DJ194" s="19" cm="1">
        <f t="array" aca="1" ref="DJ194" ca="1">MIN(_xlfn._xlws.FILTER(CT194:DG194,CT194:DG194&gt;BP194))</f>
        <v>2.5876805187150027E-2</v>
      </c>
      <c r="DK194" s="2" cm="1">
        <f t="array" aca="1" ref="DK194" ca="1">_FV(EH194,"Fechamento anterior",TRUE)</f>
        <v>20.71</v>
      </c>
      <c r="DL194" s="36">
        <f ca="1">(BJ194-DM194)/(DN194-DM194)</f>
        <v>0.34213441065411737</v>
      </c>
      <c r="DM194" s="18">
        <f t="shared" ca="1" si="194"/>
        <v>20.993716336401935</v>
      </c>
      <c r="DN194" s="18">
        <f t="shared" ca="1" si="195"/>
        <v>21.245908635425877</v>
      </c>
      <c r="DO194" s="9"/>
      <c r="DP194" s="9"/>
      <c r="DQ194" s="94">
        <v>4.8235205349573783E-3</v>
      </c>
      <c r="DR194" s="94">
        <v>8.8431209807551953E-3</v>
      </c>
      <c r="DS194" s="94">
        <v>6.1638086255956558E-3</v>
      </c>
      <c r="DT194" s="94">
        <f t="shared" ca="1" si="137"/>
        <v>1.2177320088070601E-2</v>
      </c>
      <c r="DU194" s="87">
        <f ca="1">(BJ194-CF194)/(CF194-CE194)</f>
        <v>0.33546181010467385</v>
      </c>
      <c r="DV194" s="46"/>
      <c r="DW194" s="43">
        <f>_xlfn.STDEV.P(BF194:BI194)</f>
        <v>0.4844068537913151</v>
      </c>
      <c r="DX194" s="76">
        <f ca="1">BO194-$DT$2</f>
        <v>-0.1654000000000001</v>
      </c>
      <c r="DY194" s="76">
        <f ca="1">BO194-BP194*100</f>
        <v>-0.95489999999999997</v>
      </c>
      <c r="DZ194" s="101"/>
      <c r="EA194" s="100">
        <v>1.1864000000000001</v>
      </c>
      <c r="EB194" s="107">
        <v>3.2088000000000005</v>
      </c>
      <c r="EC194" s="107">
        <v>2.2005999999999997</v>
      </c>
      <c r="ED194" s="98">
        <f t="shared" ca="1" si="196"/>
        <v>0.78949999999999987</v>
      </c>
      <c r="EE194" s="66"/>
      <c r="EF194" s="66"/>
      <c r="EH194" s="2" t="e" vm="196">
        <v>#VALUE!</v>
      </c>
      <c r="EJ194" s="10" cm="1">
        <f t="array" aca="1" ref="EJ194" ca="1">_FV(EH194,"Ações em circulação",TRUE)</f>
        <v>275536300</v>
      </c>
      <c r="EK194" s="21">
        <f>VLOOKUP(BK194,Fundamentus!A:U,5,FALSE)</f>
        <v>1.704</v>
      </c>
      <c r="EL194" s="2">
        <f ca="1">(BJ194*EJ194)/EK194</f>
        <v>3408629814.5539908</v>
      </c>
      <c r="EM194" s="20">
        <v>623881611.97764087</v>
      </c>
      <c r="EN194" s="20">
        <f t="shared" ca="1" si="139"/>
        <v>635027734.45140851</v>
      </c>
      <c r="EP194" s="19">
        <f t="shared" ca="1" si="134"/>
        <v>1.7865765330758121E-2</v>
      </c>
      <c r="EQ194" s="40" t="str">
        <f>IF(VLOOKUP(BK194,Fundamentus!A:U,3,FALSE)&lt;15,"Bom",IF(VLOOKUP(BK194,Fundamentus!A:U,3,FALSE)&gt;15,"Ruim","n/a"))</f>
        <v>Bom</v>
      </c>
      <c r="ER194" s="36" t="str">
        <f>IF(VLOOKUP(BK194,Fundamentus!A:U,4,FALSE)&lt;1,"Baixo",IF(VLOOKUP(BK194,Fundamentus!A:U,4,FALSE)&lt;1.5,"Moderado",IF(VLOOKUP(BK194,Fundamentus!A:U,4,FALSE)&gt;1.5,"Alto","n/a")))</f>
        <v>Alto</v>
      </c>
      <c r="ES194" s="20" t="str">
        <f>IF(VLOOKUP(BK194,Fundamentus!A:U,8,FALSE)&lt;0,"Risco elevado",IF(VLOOKUP(BK194,Fundamentus!A:U,8,FALSE)&lt;1,"Saudável",IF(VLOOKUP(BK194,Fundamentus!A:U,8,FALSE)&lt;3,"Estável",IF(VLOOKUP(BK194,Fundamentus!A:U,8,FALSE)&gt;3,"Alerta","n/a"))))</f>
        <v>Alerta</v>
      </c>
      <c r="ET194" s="36" t="str">
        <f t="shared" si="140"/>
        <v>Bom</v>
      </c>
      <c r="EU194" s="20" t="str">
        <f>IF(VLOOKUP(BK194,Fundamentus!A:U,12,FALSE)&lt;2,"Subvalorizada",IF(VLOOKUP(BK194,Fundamentus!A:U,12,FALSE)&lt;6,"Muita barata",IF(VLOOKUP(BK194,Fundamentus!A:U,12,FALSE)&lt;6,"Barata",IF(VLOOKUP(BK194,Fundamentus!A:U,12,FALSE)&lt;8,"Atrativa",IF(VLOOKUP(BK194,Fundamentus!A:U,12,FALSE)&gt;8,"Supervalorizada","n/a")))))</f>
        <v>Supervalorizada</v>
      </c>
      <c r="EW194" s="20" t="str">
        <f>IF(VLOOKUP(BK194,Fundamentus!A:U,17,FALSE)&lt;0.1,"Fraco retorno",IF(VLOOKUP(BK194,Fundamentus!A:U,17,FALSE)&gt;0.1,"Bom retorno","n/a"))</f>
        <v>Bom retorno</v>
      </c>
      <c r="EX194" s="20" t="str">
        <f>IF(VLOOKUP(BK194,Fundamentus!A:U,16,FALSE)&lt;0.1,"Ineficiente",IF(VLOOKUP(BK194,Fundamentus!A:U,16,FALSE)&gt;0.1,"Eficiente","n/a"))</f>
        <v>Eficiente</v>
      </c>
      <c r="EY194" s="41" t="str">
        <f>IF(VLOOKUP(BK194,Fundamentus!A:U,16,FALSE)&lt;0.1,"Oper. Ineficiente",IF(VLOOKUP(BK194,Fundamentus!A:U,16,FALSE)&gt;0.1,"Oper.Eficiente","n/a"))</f>
        <v>Oper.Eficiente</v>
      </c>
      <c r="EZ194" s="42">
        <f>VLOOKUP(BK194,Fundamentus!A:U,14,FALSE)</f>
        <v>0.18629999999999999</v>
      </c>
      <c r="FA194" s="20" t="str">
        <f>IF(VLOOKUP(BK194,Fundamentus!A:U,21,FALSE)&lt;0,"Negativo",IF(VLOOKUP(BK194,Fundamentus!A:U,21,FALSE)&lt;0.05,"Fraco",IF(VLOOKUP(BK194,Fundamentus!A:U,21,FALSE)&lt;0.1,"Bom",IF(VLOOKUP(BK194,Fundamentus!A:U,21,FALSE)&gt;0.1,"Muito bom","n/a"))))</f>
        <v>Muito bom</v>
      </c>
      <c r="FC194" s="37" t="str">
        <f>IF(VLOOKUP(BK194,Fundamentus!A:U,15,FALSE)&gt;1,"Bom",IF(VLOOKUP(BK194,Fundamentus!A:U,15,FALSE)&lt;1,"Ruim","n/a"))</f>
        <v>Bom</v>
      </c>
      <c r="FD194" s="20" t="str">
        <f>IF(VLOOKUP(BK194,Fundamentus!A:U,20,FALSE)&lt;0.5,"Baixa",IF(VLOOKUP(BK194,Fundamentus!A:U,20,FALSE)&lt;1,"Moderada",IF(VLOOKUP(BK194,Fundamentus!A:U,20,FALSE)&lt;2,"Alerta",IF(VLOOKUP(BK194,Fundamentus!A:U,20,FALSE)&gt;2,"Alta","n/a"))))</f>
        <v>Baixa</v>
      </c>
      <c r="FE194" s="10"/>
    </row>
    <row r="195" spans="1:161" s="2" customFormat="1" ht="11.25" hidden="1"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8">
        <v>1.25</v>
      </c>
      <c r="BC195" s="62">
        <v>1.25</v>
      </c>
      <c r="BD195" s="62">
        <v>1.23</v>
      </c>
      <c r="BE195" s="62">
        <v>1.22</v>
      </c>
      <c r="BF195" s="62">
        <v>1.22</v>
      </c>
      <c r="BG195" s="81">
        <v>1.21</v>
      </c>
      <c r="BH195" s="62">
        <v>1.2</v>
      </c>
      <c r="BI195" s="62">
        <v>1.21</v>
      </c>
      <c r="BJ195" s="62" cm="1">
        <f t="array" aca="1" ref="BJ195" ca="1">_FV(EH195,"Preço")</f>
        <v>1.19</v>
      </c>
      <c r="BK195" s="83" t="s">
        <v>191</v>
      </c>
      <c r="BL195" s="44" cm="1">
        <f t="array" aca="1" ref="BL195" ca="1">_FV(EH195,"Média de volume",TRUE)</f>
        <v>50100</v>
      </c>
      <c r="BM195" s="44">
        <v>14400</v>
      </c>
      <c r="BN195" s="44" cm="1">
        <f t="array" aca="1" ref="BN195" ca="1">_FV(EH195,"Volume")</f>
        <v>26400</v>
      </c>
      <c r="BO195" s="32" cm="1">
        <f t="array" aca="1" ref="BO195" ca="1">_FV(EH195,"Beta")</f>
        <v>1.7899</v>
      </c>
      <c r="BP195" s="86" cm="1">
        <f t="array" aca="1" ref="BP195" ca="1">_FV(EH195,"Variação (%)",TRUE)</f>
        <v>-1.6529000000000002E-2</v>
      </c>
      <c r="BQ195" s="48"/>
      <c r="BR195" s="48"/>
      <c r="BT195" s="20" cm="1">
        <f t="array" aca="1" ref="BT195" ca="1">_FV(EH195,"Baixo")</f>
        <v>1.19</v>
      </c>
      <c r="BU195" s="20" cm="1">
        <f t="array" aca="1" ref="BU195" ca="1">_FV(EH195,"Alto")</f>
        <v>1.2</v>
      </c>
      <c r="BV195" s="32"/>
      <c r="BW195" s="73" t="e">
        <f ca="1">SQRT(22.5*(BJ195/VLOOKUP(BK195,Fundamentus!A:U,3,FALSE))*(BJ195/VLOOKUP(BK195,Fundamentus!A:U,4,FALSE)))</f>
        <v>#NUM!</v>
      </c>
      <c r="BY195" s="72">
        <f t="shared" ca="1" si="135"/>
        <v>-1.6528925619834725E-2</v>
      </c>
      <c r="BZ195" s="8"/>
      <c r="CA195" s="71">
        <f t="shared" si="143"/>
        <v>1.19</v>
      </c>
      <c r="CB195" s="71">
        <f t="shared" si="136"/>
        <v>1.79</v>
      </c>
      <c r="CC195" s="71">
        <f t="shared" si="144"/>
        <v>1.3924590163934427</v>
      </c>
      <c r="CD195" s="17"/>
      <c r="CE195" s="43">
        <f t="shared" si="141"/>
        <v>1.1858578643762718</v>
      </c>
      <c r="CF195" s="18">
        <f>FORECAST("04/07/2025", BF195:BI195, $BF$5:$BI$5)</f>
        <v>1.2000000000000028</v>
      </c>
      <c r="CG195" s="43">
        <f t="shared" si="142"/>
        <v>1.2141421356237339</v>
      </c>
      <c r="CI195" s="17"/>
      <c r="CJ195" s="20">
        <f>CA195-2*(CB195-CM195)</f>
        <v>0.40333333333333288</v>
      </c>
      <c r="CK195" s="20">
        <f>CM195-(CB195-CA195)</f>
        <v>0.79666666666666641</v>
      </c>
      <c r="CL195" s="20">
        <f>2*CM195-CB195</f>
        <v>1.003333333333333</v>
      </c>
      <c r="CM195" s="48">
        <f>(CB195+CA195+BI195)/3</f>
        <v>1.3966666666666665</v>
      </c>
      <c r="CN195" s="20">
        <f>2*CM195-CA195</f>
        <v>1.6033333333333331</v>
      </c>
      <c r="CO195" s="20">
        <f>CM195+(CB195-CA195)</f>
        <v>1.9966666666666666</v>
      </c>
      <c r="CP195" s="20">
        <f>CB195+2*(CM195-CA195)</f>
        <v>2.2033333333333331</v>
      </c>
      <c r="CQ195" s="2" cm="1">
        <f t="array" aca="1" ref="CQ195" ca="1">MAX(_xlfn._xlws.FILTER(CJ195:CP195,CJ195:CP195&lt;BJ195))</f>
        <v>1.003333333333333</v>
      </c>
      <c r="CR195" s="2" cm="1">
        <f t="array" aca="1" ref="CR195" ca="1">MIN(_xlfn._xlws.FILTER($CJ195:$CP195,$CJ195:$CP195&gt;BJ195))</f>
        <v>1.3966666666666665</v>
      </c>
      <c r="CS195" s="19">
        <f t="shared" ca="1" si="179"/>
        <v>0.39202657807309005</v>
      </c>
      <c r="CT195" s="23">
        <f t="shared" ca="1" si="180"/>
        <v>-0.19601328903654502</v>
      </c>
      <c r="CU195" s="23">
        <f t="shared" ca="1" si="181"/>
        <v>-0.13067552602436336</v>
      </c>
      <c r="CV195" s="23">
        <f t="shared" ca="1" si="182"/>
        <v>-7.8405315614618012E-2</v>
      </c>
      <c r="CW195" s="23">
        <f t="shared" ca="1" si="183"/>
        <v>-4.3558508674787784E-2</v>
      </c>
      <c r="CX195" s="23">
        <f t="shared" ca="1" si="184"/>
        <v>-2.3060386945475884E-2</v>
      </c>
      <c r="CY195" s="23">
        <f t="shared" ca="1" si="185"/>
        <v>-1.1879593274942122E-2</v>
      </c>
      <c r="CZ195" s="23">
        <f t="shared" ca="1" si="186"/>
        <v>-6.0311781242013852E-3</v>
      </c>
      <c r="DA195" s="24">
        <f t="shared" ca="1" si="187"/>
        <v>6.0311781242013852E-3</v>
      </c>
      <c r="DB195" s="24">
        <f t="shared" ca="1" si="188"/>
        <v>1.1879593274942122E-2</v>
      </c>
      <c r="DC195" s="24">
        <f t="shared" ca="1" si="189"/>
        <v>2.3060386945475884E-2</v>
      </c>
      <c r="DD195" s="24">
        <f t="shared" ca="1" si="190"/>
        <v>4.3558508674787784E-2</v>
      </c>
      <c r="DE195" s="24">
        <f t="shared" ca="1" si="191"/>
        <v>7.8405315614618012E-2</v>
      </c>
      <c r="DF195" s="24">
        <f t="shared" ca="1" si="192"/>
        <v>0.13067552602436336</v>
      </c>
      <c r="DG195" s="24">
        <f t="shared" ca="1" si="193"/>
        <v>0.19601328903654502</v>
      </c>
      <c r="DI195" s="19" cm="1">
        <f t="array" aca="1" ref="DI195" ca="1">MAX(_xlfn._xlws.FILTER(CT195:DG195,CT195:DG195&lt;BP195))</f>
        <v>-2.3060386945475884E-2</v>
      </c>
      <c r="DJ195" s="19" cm="1">
        <f t="array" aca="1" ref="DJ195" ca="1">MIN(_xlfn._xlws.FILTER(CT195:DG195,CT195:DG195&gt;BP195))</f>
        <v>-1.1879593274942122E-2</v>
      </c>
      <c r="DK195" s="2" cm="1">
        <f t="array" aca="1" ref="DK195" ca="1">_FV(EH195,"Fechamento anterior",TRUE)</f>
        <v>1.21</v>
      </c>
      <c r="DL195" s="36">
        <f ca="1">(BJ195-DM195)/(DN195-DM195)</f>
        <v>0.58416795069337002</v>
      </c>
      <c r="DM195" s="18">
        <f t="shared" ca="1" si="194"/>
        <v>1.1820969317959742</v>
      </c>
      <c r="DN195" s="18">
        <f t="shared" ca="1" si="195"/>
        <v>1.1956256921373201</v>
      </c>
      <c r="DO195" s="9"/>
      <c r="DP195" s="9"/>
      <c r="DQ195" s="94">
        <v>8.73600873600874E-3</v>
      </c>
      <c r="DR195" s="94">
        <v>8.73600873600874E-3</v>
      </c>
      <c r="DS195" s="94">
        <v>1.1180793670533762E-2</v>
      </c>
      <c r="DT195" s="94">
        <f t="shared" ca="1" si="137"/>
        <v>1.1180793670533762E-2</v>
      </c>
      <c r="DU195" s="87">
        <f ca="1">(BJ195-CF195)/(CF195-CE195)</f>
        <v>-0.70710678118674919</v>
      </c>
      <c r="DV195" s="46"/>
      <c r="DW195" s="43">
        <f>_xlfn.STDEV.P(BF195:BI195)</f>
        <v>7.0710678118654814E-3</v>
      </c>
      <c r="DX195" s="76">
        <f ca="1">BO195-$DT$2</f>
        <v>0.79279999999999995</v>
      </c>
      <c r="DY195" s="76">
        <f ca="1">BO195-BP195*100</f>
        <v>3.4428000000000001</v>
      </c>
      <c r="DZ195" s="101"/>
      <c r="EA195" s="100">
        <v>1.1117000000000004</v>
      </c>
      <c r="EB195" s="107">
        <v>-1.9839000000000002</v>
      </c>
      <c r="EC195" s="107">
        <v>1.8616000000000004</v>
      </c>
      <c r="ED195" s="98">
        <f t="shared" ca="1" si="196"/>
        <v>-2.6500000000000004</v>
      </c>
      <c r="EE195" s="66"/>
      <c r="EF195" s="66"/>
      <c r="EH195" s="2" t="e" vm="197">
        <v>#VALUE!</v>
      </c>
      <c r="EJ195" s="10" cm="1">
        <f t="array" aca="1" ref="EJ195" ca="1">_FV(EH195,"Ações em circulação",TRUE)</f>
        <v>43716190</v>
      </c>
      <c r="EK195" s="21">
        <f>VLOOKUP(BK195,Fundamentus!A:U,5,FALSE)</f>
        <v>0.496</v>
      </c>
      <c r="EL195" s="2">
        <f ca="1">(BJ195*EJ195)/EK195</f>
        <v>104883601.00806451</v>
      </c>
      <c r="EM195" s="20">
        <v>-35790515.262983873</v>
      </c>
      <c r="EN195" s="20">
        <f t="shared" ca="1" si="139"/>
        <v>-35198936.498306453</v>
      </c>
      <c r="EP195" s="19">
        <f t="shared" ref="EP195:EP258" ca="1" si="197">(EN195/EM195)-1</f>
        <v>-1.6528925619834767E-2</v>
      </c>
      <c r="EQ195" s="40" t="str">
        <f>IF(VLOOKUP(BK195,Fundamentus!A:U,3,FALSE)&lt;15,"Bom",IF(VLOOKUP(BK195,Fundamentus!A:U,3,FALSE)&gt;15,"Ruim","n/a"))</f>
        <v>Bom</v>
      </c>
      <c r="ER195" s="36" t="str">
        <f>IF(VLOOKUP(BK195,Fundamentus!A:U,4,FALSE)&lt;1,"Baixo",IF(VLOOKUP(BK195,Fundamentus!A:U,4,FALSE)&lt;1.5,"Moderado",IF(VLOOKUP(BK195,Fundamentus!A:U,4,FALSE)&gt;1.5,"Alto","n/a")))</f>
        <v>Baixo</v>
      </c>
      <c r="ES195" s="20" t="str">
        <f>IF(VLOOKUP(BK195,Fundamentus!A:U,8,FALSE)&lt;0,"Risco elevado",IF(VLOOKUP(BK195,Fundamentus!A:U,8,FALSE)&lt;1,"Saudável",IF(VLOOKUP(BK195,Fundamentus!A:U,8,FALSE)&lt;3,"Estável",IF(VLOOKUP(BK195,Fundamentus!A:U,8,FALSE)&gt;3,"Alerta","n/a"))))</f>
        <v>Alerta</v>
      </c>
      <c r="ET195" s="36" t="str">
        <f t="shared" si="140"/>
        <v>Ruim</v>
      </c>
      <c r="EU195" s="20" t="str">
        <f>IF(VLOOKUP(BK195,Fundamentus!A:U,12,FALSE)&lt;2,"Subvalorizada",IF(VLOOKUP(BK195,Fundamentus!A:U,12,FALSE)&lt;6,"Muita barata",IF(VLOOKUP(BK195,Fundamentus!A:U,12,FALSE)&lt;6,"Barata",IF(VLOOKUP(BK195,Fundamentus!A:U,12,FALSE)&lt;8,"Atrativa",IF(VLOOKUP(BK195,Fundamentus!A:U,12,FALSE)&gt;8,"Supervalorizada","n/a")))))</f>
        <v>Subvalorizada</v>
      </c>
      <c r="EW195" s="20" t="str">
        <f>IF(VLOOKUP(BK195,Fundamentus!A:U,17,FALSE)&lt;0.1,"Fraco retorno",IF(VLOOKUP(BK195,Fundamentus!A:U,17,FALSE)&gt;0.1,"Bom retorno","n/a"))</f>
        <v>Fraco retorno</v>
      </c>
      <c r="EX195" s="20" t="str">
        <f>IF(VLOOKUP(BK195,Fundamentus!A:U,16,FALSE)&lt;0.1,"Ineficiente",IF(VLOOKUP(BK195,Fundamentus!A:U,16,FALSE)&gt;0.1,"Eficiente","n/a"))</f>
        <v>Ineficiente</v>
      </c>
      <c r="EY195" s="41" t="str">
        <f>IF(VLOOKUP(BK195,Fundamentus!A:U,16,FALSE)&lt;0.1,"Oper. Ineficiente",IF(VLOOKUP(BK195,Fundamentus!A:U,16,FALSE)&gt;0.1,"Oper.Eficiente","n/a"))</f>
        <v>Oper. Ineficiente</v>
      </c>
      <c r="EZ195" s="42">
        <f>VLOOKUP(BK195,Fundamentus!A:U,14,FALSE)</f>
        <v>-0.33560000000000001</v>
      </c>
      <c r="FA195" s="20" t="str">
        <f>IF(VLOOKUP(BK195,Fundamentus!A:U,21,FALSE)&lt;0,"Negativo",IF(VLOOKUP(BK195,Fundamentus!A:U,21,FALSE)&lt;0.05,"Fraco",IF(VLOOKUP(BK195,Fundamentus!A:U,21,FALSE)&lt;0.1,"Bom",IF(VLOOKUP(BK195,Fundamentus!A:U,21,FALSE)&gt;0.1,"Muito bom","n/a"))))</f>
        <v>Muito bom</v>
      </c>
      <c r="FC195" s="37" t="str">
        <f>IF(VLOOKUP(BK195,Fundamentus!A:U,15,FALSE)&gt;1,"Bom",IF(VLOOKUP(BK195,Fundamentus!A:U,15,FALSE)&lt;1,"Ruim","n/a"))</f>
        <v>Bom</v>
      </c>
      <c r="FD195" s="20" t="str">
        <f>IF(VLOOKUP(BK195,Fundamentus!A:U,20,FALSE)&lt;0.5,"Baixa",IF(VLOOKUP(BK195,Fundamentus!A:U,20,FALSE)&lt;1,"Moderada",IF(VLOOKUP(BK195,Fundamentus!A:U,20,FALSE)&lt;2,"Alerta",IF(VLOOKUP(BK195,Fundamentus!A:U,20,FALSE)&gt;2,"Alta","n/a"))))</f>
        <v>Alerta</v>
      </c>
      <c r="FE195" s="10"/>
    </row>
    <row r="196" spans="1:161" s="2" customFormat="1" ht="11.25" hidden="1"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8">
        <v>7.14</v>
      </c>
      <c r="BC196" s="62">
        <v>6.54</v>
      </c>
      <c r="BD196" s="62">
        <v>6.44</v>
      </c>
      <c r="BE196" s="62">
        <v>6.75</v>
      </c>
      <c r="BF196" s="62">
        <v>6.99</v>
      </c>
      <c r="BG196" s="81">
        <v>7.19</v>
      </c>
      <c r="BH196" s="62">
        <v>7.49</v>
      </c>
      <c r="BI196" s="62">
        <v>7.37</v>
      </c>
      <c r="BJ196" s="62" cm="1">
        <f t="array" aca="1" ref="BJ196" ca="1">_FV(EH196,"Preço")</f>
        <v>7.42</v>
      </c>
      <c r="BK196" s="83" t="s">
        <v>192</v>
      </c>
      <c r="BL196" s="44" cm="1">
        <f t="array" aca="1" ref="BL196" ca="1">_FV(EH196,"Média de volume",TRUE)</f>
        <v>5029710</v>
      </c>
      <c r="BM196" s="44">
        <v>3175600</v>
      </c>
      <c r="BN196" s="44" cm="1">
        <f t="array" aca="1" ref="BN196" ca="1">_FV(EH196,"Volume")</f>
        <v>1534700</v>
      </c>
      <c r="BO196" s="32" cm="1">
        <f t="array" aca="1" ref="BO196" ca="1">_FV(EH196,"Beta")</f>
        <v>1.6073</v>
      </c>
      <c r="BP196" s="86" cm="1">
        <f t="array" aca="1" ref="BP196" ca="1">_FV(EH196,"Variação (%)",TRUE)</f>
        <v>6.7840000000000001E-3</v>
      </c>
      <c r="BQ196" s="48"/>
      <c r="BR196" s="48"/>
      <c r="BT196" s="20" cm="1">
        <f t="array" aca="1" ref="BT196" ca="1">_FV(EH196,"Baixo")</f>
        <v>7.26</v>
      </c>
      <c r="BU196" s="20" cm="1">
        <f t="array" aca="1" ref="BU196" ca="1">_FV(EH196,"Alto")</f>
        <v>7.52</v>
      </c>
      <c r="BV196" s="32"/>
      <c r="BW196" s="73">
        <f ca="1">SQRT(22.5*(BJ196/VLOOKUP(BK196,Fundamentus!A:U,3,FALSE))*(BJ196/VLOOKUP(BK196,Fundamentus!A:U,4,FALSE)))</f>
        <v>12.034014802839453</v>
      </c>
      <c r="BY196" s="72">
        <f t="shared" ca="1" si="135"/>
        <v>6.7842605156037752E-3</v>
      </c>
      <c r="BZ196" s="8"/>
      <c r="CA196" s="71">
        <f t="shared" si="143"/>
        <v>4.07</v>
      </c>
      <c r="CB196" s="71">
        <f t="shared" si="136"/>
        <v>7.99</v>
      </c>
      <c r="CC196" s="71">
        <f t="shared" si="144"/>
        <v>6.4092622950819669</v>
      </c>
      <c r="CD196" s="17"/>
      <c r="CE196" s="43">
        <f t="shared" si="141"/>
        <v>7.2421111274460674</v>
      </c>
      <c r="CF196" s="18">
        <f>FORECAST("04/07/2025", BF196:BI196, $BF$5:$BI$5)</f>
        <v>7.6199999999998909</v>
      </c>
      <c r="CG196" s="43">
        <f t="shared" si="142"/>
        <v>7.9978888725537143</v>
      </c>
      <c r="CI196" s="17"/>
      <c r="CJ196" s="20">
        <f>CA196-2*(CB196-CM196)</f>
        <v>1.043333333333333</v>
      </c>
      <c r="CK196" s="20">
        <f>CM196-(CB196-CA196)</f>
        <v>2.5566666666666666</v>
      </c>
      <c r="CL196" s="20">
        <f>2*CM196-CB196</f>
        <v>4.9633333333333329</v>
      </c>
      <c r="CM196" s="48">
        <f>(CB196+CA196+BI196)/3</f>
        <v>6.4766666666666666</v>
      </c>
      <c r="CN196" s="20">
        <f>2*CM196-CA196</f>
        <v>8.8833333333333329</v>
      </c>
      <c r="CO196" s="20">
        <f>CM196+(CB196-CA196)</f>
        <v>10.396666666666667</v>
      </c>
      <c r="CP196" s="20">
        <f>CB196+2*(CM196-CA196)</f>
        <v>12.803333333333333</v>
      </c>
      <c r="CQ196" s="2" cm="1">
        <f t="array" aca="1" ref="CQ196" ca="1">MAX(_xlfn._xlws.FILTER(CJ196:CP196,CJ196:CP196&lt;BJ196))</f>
        <v>6.4766666666666666</v>
      </c>
      <c r="CR196" s="2" cm="1">
        <f t="array" aca="1" ref="CR196" ca="1">MIN(_xlfn._xlws.FILTER($CJ196:$CP196,$CJ196:$CP196&gt;BJ196))</f>
        <v>8.8833333333333329</v>
      </c>
      <c r="CS196" s="19">
        <f t="shared" ca="1" si="179"/>
        <v>0.37159032424086469</v>
      </c>
      <c r="CT196" s="23">
        <f t="shared" ca="1" si="180"/>
        <v>-0.18579516212043234</v>
      </c>
      <c r="CU196" s="23">
        <f t="shared" ca="1" si="181"/>
        <v>-0.12386344141362156</v>
      </c>
      <c r="CV196" s="23">
        <f t="shared" ca="1" si="182"/>
        <v>-7.4318064848172938E-2</v>
      </c>
      <c r="CW196" s="23">
        <f t="shared" ca="1" si="183"/>
        <v>-4.1287813804540524E-2</v>
      </c>
      <c r="CX196" s="23">
        <f t="shared" ca="1" si="184"/>
        <v>-2.1858254367109687E-2</v>
      </c>
      <c r="CY196" s="23">
        <f t="shared" ca="1" si="185"/>
        <v>-1.1260312855783779E-2</v>
      </c>
      <c r="CZ196" s="23">
        <f t="shared" ca="1" si="186"/>
        <v>-5.716774219090226E-3</v>
      </c>
      <c r="DA196" s="24">
        <f t="shared" ca="1" si="187"/>
        <v>5.716774219090226E-3</v>
      </c>
      <c r="DB196" s="24">
        <f t="shared" ca="1" si="188"/>
        <v>1.1260312855783779E-2</v>
      </c>
      <c r="DC196" s="24">
        <f t="shared" ca="1" si="189"/>
        <v>2.1858254367109687E-2</v>
      </c>
      <c r="DD196" s="24">
        <f t="shared" ca="1" si="190"/>
        <v>4.1287813804540524E-2</v>
      </c>
      <c r="DE196" s="24">
        <f t="shared" ca="1" si="191"/>
        <v>7.4318064848172938E-2</v>
      </c>
      <c r="DF196" s="24">
        <f t="shared" ca="1" si="192"/>
        <v>0.12386344141362156</v>
      </c>
      <c r="DG196" s="24">
        <f t="shared" ca="1" si="193"/>
        <v>0.18579516212043234</v>
      </c>
      <c r="DI196" s="19" cm="1">
        <f t="array" aca="1" ref="DI196" ca="1">MAX(_xlfn._xlws.FILTER(CT196:DG196,CT196:DG196&lt;BP196))</f>
        <v>5.716774219090226E-3</v>
      </c>
      <c r="DJ196" s="19" cm="1">
        <f t="array" aca="1" ref="DJ196" ca="1">MIN(_xlfn._xlws.FILTER(CT196:DG196,CT196:DG196&gt;BP196))</f>
        <v>1.1260312855783779E-2</v>
      </c>
      <c r="DK196" s="2" cm="1">
        <f t="array" aca="1" ref="DK196" ca="1">_FV(EH196,"Fechamento anterior",TRUE)</f>
        <v>7.37</v>
      </c>
      <c r="DL196" s="36">
        <f ca="1">(BJ196-DM196)/(DN196-DM196)</f>
        <v>0.1925640581717448</v>
      </c>
      <c r="DM196" s="18">
        <f t="shared" ca="1" si="194"/>
        <v>7.4121326259946949</v>
      </c>
      <c r="DN196" s="18">
        <f t="shared" ca="1" si="195"/>
        <v>7.4529885057471263</v>
      </c>
      <c r="DO196" s="9"/>
      <c r="DP196" s="9"/>
      <c r="DQ196" s="94">
        <v>1.0643943969224802E-2</v>
      </c>
      <c r="DR196" s="94">
        <v>1.1483178012952141E-2</v>
      </c>
      <c r="DS196" s="94">
        <v>5.4558774558774552E-3</v>
      </c>
      <c r="DT196" s="94">
        <f t="shared" ca="1" si="137"/>
        <v>5.5435386366935527E-3</v>
      </c>
      <c r="DU196" s="87">
        <f ca="1">(BJ196-CF196)/(CF196-CE196)</f>
        <v>-0.52925612402467492</v>
      </c>
      <c r="DV196" s="46"/>
      <c r="DW196" s="43">
        <f>_xlfn.STDEV.P(BF196:BI196)</f>
        <v>0.18894443627691182</v>
      </c>
      <c r="DX196" s="76">
        <f ca="1">BO196-$DT$2</f>
        <v>0.61019999999999985</v>
      </c>
      <c r="DY196" s="76">
        <f ca="1">BO196-BP196*100</f>
        <v>0.92889999999999995</v>
      </c>
      <c r="DZ196" s="101"/>
      <c r="EA196" s="100">
        <v>-1.3831000000000002</v>
      </c>
      <c r="EB196" s="107">
        <v>-0.20550000000000024</v>
      </c>
      <c r="EC196" s="107">
        <v>-1.2896999999999996</v>
      </c>
      <c r="ED196" s="98">
        <f t="shared" ca="1" si="196"/>
        <v>-0.31870000000000009</v>
      </c>
      <c r="EE196" s="66"/>
      <c r="EF196" s="66"/>
      <c r="EH196" s="2" t="e" vm="198">
        <v>#VALUE!</v>
      </c>
      <c r="EJ196" s="10" cm="1">
        <f t="array" aca="1" ref="EJ196" ca="1">_FV(EH196,"Ações em circulação",TRUE)</f>
        <v>696334200</v>
      </c>
      <c r="EK196" s="21">
        <f>VLOOKUP(BK196,Fundamentus!A:U,5,FALSE)</f>
        <v>0.49199999999999999</v>
      </c>
      <c r="EL196" s="2">
        <f ca="1">(BJ196*EJ196)/EK196</f>
        <v>10501625536.585365</v>
      </c>
      <c r="EM196" s="20">
        <v>833425703.28170729</v>
      </c>
      <c r="EN196" s="20">
        <f t="shared" ca="1" si="139"/>
        <v>839079880.37317073</v>
      </c>
      <c r="EP196" s="19">
        <f t="shared" ca="1" si="197"/>
        <v>6.7842605156038793E-3</v>
      </c>
      <c r="EQ196" s="40" t="str">
        <f>IF(VLOOKUP(BK196,Fundamentus!A:U,3,FALSE)&lt;15,"Bom",IF(VLOOKUP(BK196,Fundamentus!A:U,3,FALSE)&gt;15,"Ruim","n/a"))</f>
        <v>Bom</v>
      </c>
      <c r="ER196" s="36" t="str">
        <f>IF(VLOOKUP(BK196,Fundamentus!A:U,4,FALSE)&lt;1,"Baixo",IF(VLOOKUP(BK196,Fundamentus!A:U,4,FALSE)&lt;1.5,"Moderado",IF(VLOOKUP(BK196,Fundamentus!A:U,4,FALSE)&gt;1.5,"Alto","n/a")))</f>
        <v>Moderado</v>
      </c>
      <c r="ES196" s="20" t="str">
        <f>IF(VLOOKUP(BK196,Fundamentus!A:U,8,FALSE)&lt;0,"Risco elevado",IF(VLOOKUP(BK196,Fundamentus!A:U,8,FALSE)&lt;1,"Saudável",IF(VLOOKUP(BK196,Fundamentus!A:U,8,FALSE)&lt;3,"Estável",IF(VLOOKUP(BK196,Fundamentus!A:U,8,FALSE)&gt;3,"Alerta","n/a"))))</f>
        <v>Risco elevado</v>
      </c>
      <c r="ET196" s="36" t="str">
        <f t="shared" si="140"/>
        <v>Ruim</v>
      </c>
      <c r="EU196" s="20" t="str">
        <f>IF(VLOOKUP(BK196,Fundamentus!A:U,12,FALSE)&lt;2,"Subvalorizada",IF(VLOOKUP(BK196,Fundamentus!A:U,12,FALSE)&lt;6,"Muita barata",IF(VLOOKUP(BK196,Fundamentus!A:U,12,FALSE)&lt;6,"Barata",IF(VLOOKUP(BK196,Fundamentus!A:U,12,FALSE)&lt;8,"Atrativa",IF(VLOOKUP(BK196,Fundamentus!A:U,12,FALSE)&gt;8,"Supervalorizada","n/a")))))</f>
        <v>Muita barata</v>
      </c>
      <c r="EW196" s="20" t="str">
        <f>IF(VLOOKUP(BK196,Fundamentus!A:U,17,FALSE)&lt;0.1,"Fraco retorno",IF(VLOOKUP(BK196,Fundamentus!A:U,17,FALSE)&gt;0.1,"Bom retorno","n/a"))</f>
        <v>Bom retorno</v>
      </c>
      <c r="EX196" s="20" t="str">
        <f>IF(VLOOKUP(BK196,Fundamentus!A:U,16,FALSE)&lt;0.1,"Ineficiente",IF(VLOOKUP(BK196,Fundamentus!A:U,16,FALSE)&gt;0.1,"Eficiente","n/a"))</f>
        <v>Eficiente</v>
      </c>
      <c r="EY196" s="41" t="str">
        <f>IF(VLOOKUP(BK196,Fundamentus!A:U,16,FALSE)&lt;0.1,"Oper. Ineficiente",IF(VLOOKUP(BK196,Fundamentus!A:U,16,FALSE)&gt;0.1,"Oper.Eficiente","n/a"))</f>
        <v>Oper.Eficiente</v>
      </c>
      <c r="EZ196" s="42">
        <f>VLOOKUP(BK196,Fundamentus!A:U,14,FALSE)</f>
        <v>7.9899999999999999E-2</v>
      </c>
      <c r="FA196" s="20" t="str">
        <f>IF(VLOOKUP(BK196,Fundamentus!A:U,21,FALSE)&lt;0,"Negativo",IF(VLOOKUP(BK196,Fundamentus!A:U,21,FALSE)&lt;0.05,"Fraco",IF(VLOOKUP(BK196,Fundamentus!A:U,21,FALSE)&lt;0.1,"Bom",IF(VLOOKUP(BK196,Fundamentus!A:U,21,FALSE)&gt;0.1,"Muito bom","n/a"))))</f>
        <v>Muito bom</v>
      </c>
      <c r="FC196" s="37" t="str">
        <f>IF(VLOOKUP(BK196,Fundamentus!A:U,15,FALSE)&gt;1,"Bom",IF(VLOOKUP(BK196,Fundamentus!A:U,15,FALSE)&lt;1,"Ruim","n/a"))</f>
        <v>Ruim</v>
      </c>
      <c r="FD196" s="20" t="str">
        <f>IF(VLOOKUP(BK196,Fundamentus!A:U,20,FALSE)&lt;0.5,"Baixa",IF(VLOOKUP(BK196,Fundamentus!A:U,20,FALSE)&lt;1,"Moderada",IF(VLOOKUP(BK196,Fundamentus!A:U,20,FALSE)&lt;2,"Alerta",IF(VLOOKUP(BK196,Fundamentus!A:U,20,FALSE)&gt;2,"Alta","n/a"))))</f>
        <v>Alta</v>
      </c>
      <c r="FE196" s="10"/>
    </row>
    <row r="197" spans="1:161" s="2" customFormat="1" ht="11.25" hidden="1"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8">
        <v>0.66</v>
      </c>
      <c r="BC197" s="62">
        <v>0.56999999999999995</v>
      </c>
      <c r="BD197" s="62">
        <v>0.42</v>
      </c>
      <c r="BE197" s="62">
        <v>0.34</v>
      </c>
      <c r="BF197" s="62">
        <v>0.27</v>
      </c>
      <c r="BG197" s="81">
        <v>0.3</v>
      </c>
      <c r="BH197" s="62">
        <v>0.27</v>
      </c>
      <c r="BI197" s="62">
        <v>0.3</v>
      </c>
      <c r="BJ197" s="62" cm="1">
        <f t="array" aca="1" ref="BJ197" ca="1">_FV(EH197,"Preço")</f>
        <v>0.28999999999999998</v>
      </c>
      <c r="BK197" s="83" t="s">
        <v>193</v>
      </c>
      <c r="BL197" s="44" cm="1">
        <f t="array" aca="1" ref="BL197" ca="1">_FV(EH197,"Média de volume",TRUE)</f>
        <v>2311360</v>
      </c>
      <c r="BM197" s="44">
        <v>1443800</v>
      </c>
      <c r="BN197" s="44" cm="1">
        <f t="array" aca="1" ref="BN197" ca="1">_FV(EH197,"Volume")</f>
        <v>407000</v>
      </c>
      <c r="BO197" s="32" cm="1">
        <f t="array" aca="1" ref="BO197" ca="1">_FV(EH197,"Beta")</f>
        <v>1.7010000000000001</v>
      </c>
      <c r="BP197" s="86" cm="1">
        <f t="array" aca="1" ref="BP197" ca="1">_FV(EH197,"Variação (%)",TRUE)</f>
        <v>-3.3333000000000002E-2</v>
      </c>
      <c r="BQ197" s="48"/>
      <c r="BR197" s="48"/>
      <c r="BT197" s="20" cm="1">
        <f t="array" aca="1" ref="BT197" ca="1">_FV(EH197,"Baixo")</f>
        <v>0.28000000000000003</v>
      </c>
      <c r="BU197" s="20" cm="1">
        <f t="array" aca="1" ref="BU197" ca="1">_FV(EH197,"Alto")</f>
        <v>0.31</v>
      </c>
      <c r="BV197" s="32"/>
      <c r="BW197" s="73" t="e">
        <f ca="1">SQRT(22.5*(BJ197/VLOOKUP(BK197,Fundamentus!A:U,3,FALSE))*(BJ197/VLOOKUP(BK197,Fundamentus!A:U,4,FALSE)))</f>
        <v>#DIV/0!</v>
      </c>
      <c r="BY197" s="72">
        <f t="shared" ca="1" si="135"/>
        <v>-3.3333333333333368E-2</v>
      </c>
      <c r="BZ197" s="8"/>
      <c r="CA197" s="71">
        <f t="shared" si="143"/>
        <v>0.01</v>
      </c>
      <c r="CB197" s="71">
        <f t="shared" si="136"/>
        <v>1.05</v>
      </c>
      <c r="CC197" s="71">
        <f t="shared" si="144"/>
        <v>0.25221311475409836</v>
      </c>
      <c r="CD197" s="17"/>
      <c r="CE197" s="43">
        <f t="shared" si="141"/>
        <v>0.26999999999999719</v>
      </c>
      <c r="CF197" s="18">
        <f>FORECAST("04/07/2025", BF197:BI197, $BF$5:$BI$5)</f>
        <v>0.29999999999999716</v>
      </c>
      <c r="CG197" s="43">
        <f t="shared" si="142"/>
        <v>0.32999999999999713</v>
      </c>
      <c r="CI197" s="17"/>
      <c r="CJ197" s="20">
        <f>CA197-2*(CB197-CM197)</f>
        <v>-1.1833333333333333</v>
      </c>
      <c r="CK197" s="20">
        <f>CM197-(CB197-CA197)</f>
        <v>-0.58666666666666667</v>
      </c>
      <c r="CL197" s="20">
        <f>2*CM197-CB197</f>
        <v>-0.14333333333333331</v>
      </c>
      <c r="CM197" s="48">
        <f>(CB197+CA197+BI197)/3</f>
        <v>0.45333333333333337</v>
      </c>
      <c r="CN197" s="20">
        <f>2*CM197-CA197</f>
        <v>0.89666666666666672</v>
      </c>
      <c r="CO197" s="20">
        <f>CM197+(CB197-CA197)</f>
        <v>1.4933333333333334</v>
      </c>
      <c r="CP197" s="20">
        <f>CB197+2*(CM197-CA197)</f>
        <v>1.9366666666666668</v>
      </c>
      <c r="CQ197" s="2" cm="1">
        <f t="array" aca="1" ref="CQ197" ca="1">MAX(_xlfn._xlws.FILTER(CJ197:CP197,CJ197:CP197&lt;BJ197))</f>
        <v>-0.14333333333333331</v>
      </c>
      <c r="CR197" s="2" cm="1">
        <f t="array" aca="1" ref="CR197" ca="1">MIN(_xlfn._xlws.FILTER($CJ197:$CP197,$CJ197:$CP197&gt;BJ197))</f>
        <v>0.45333333333333337</v>
      </c>
      <c r="CS197" s="19">
        <f t="shared" ca="1" si="179"/>
        <v>-4.1627906976744189</v>
      </c>
      <c r="CT197" s="23">
        <f t="shared" ca="1" si="180"/>
        <v>2.0813953488372094</v>
      </c>
      <c r="CU197" s="23">
        <f t="shared" ca="1" si="181"/>
        <v>1.3875968992248062</v>
      </c>
      <c r="CV197" s="23">
        <f t="shared" ca="1" si="182"/>
        <v>0.83255813953488378</v>
      </c>
      <c r="CW197" s="23">
        <f t="shared" ca="1" si="183"/>
        <v>0.46253229974160209</v>
      </c>
      <c r="CX197" s="23">
        <f t="shared" ca="1" si="184"/>
        <v>0.24487004103967169</v>
      </c>
      <c r="CY197" s="23">
        <f t="shared" ca="1" si="185"/>
        <v>0.12614517265680059</v>
      </c>
      <c r="CZ197" s="23">
        <f t="shared" ca="1" si="186"/>
        <v>6.404293381037568E-2</v>
      </c>
      <c r="DA197" s="24">
        <f t="shared" ca="1" si="187"/>
        <v>-6.404293381037568E-2</v>
      </c>
      <c r="DB197" s="24">
        <f t="shared" ca="1" si="188"/>
        <v>-0.12614517265680059</v>
      </c>
      <c r="DC197" s="24">
        <f t="shared" ca="1" si="189"/>
        <v>-0.24487004103967169</v>
      </c>
      <c r="DD197" s="24">
        <f t="shared" ca="1" si="190"/>
        <v>-0.46253229974160209</v>
      </c>
      <c r="DE197" s="24">
        <f t="shared" ca="1" si="191"/>
        <v>-0.83255813953488378</v>
      </c>
      <c r="DF197" s="24">
        <f t="shared" ca="1" si="192"/>
        <v>-1.3875968992248062</v>
      </c>
      <c r="DG197" s="24">
        <f t="shared" ca="1" si="193"/>
        <v>-2.0813953488372094</v>
      </c>
      <c r="DI197" s="19" cm="1">
        <f t="array" aca="1" ref="DI197" ca="1">MAX(_xlfn._xlws.FILTER(CT197:DG197,CT197:DG197&lt;BP197))</f>
        <v>-6.404293381037568E-2</v>
      </c>
      <c r="DJ197" s="19" cm="1">
        <f t="array" aca="1" ref="DJ197" ca="1">MIN(_xlfn._xlws.FILTER(CT197:DG197,CT197:DG197&gt;BP197))</f>
        <v>6.404293381037568E-2</v>
      </c>
      <c r="DK197" s="2" cm="1">
        <f t="array" aca="1" ref="DK197" ca="1">_FV(EH197,"Fechamento anterior",TRUE)</f>
        <v>0.3</v>
      </c>
      <c r="DL197" s="36">
        <f ca="1">(BJ197-DM197)/(DN197-DM197)</f>
        <v>0.23975791433891935</v>
      </c>
      <c r="DM197" s="18">
        <f t="shared" ca="1" si="194"/>
        <v>0.28078711985688731</v>
      </c>
      <c r="DN197" s="18">
        <f t="shared" ca="1" si="195"/>
        <v>0.31921288014311267</v>
      </c>
      <c r="DO197" s="9"/>
      <c r="DP197" s="9"/>
      <c r="DQ197" s="94">
        <v>9.2307692307692285E-2</v>
      </c>
      <c r="DR197" s="94">
        <v>4.4755244755244741E-2</v>
      </c>
      <c r="DS197" s="94">
        <v>0.12808586762075136</v>
      </c>
      <c r="DT197" s="94">
        <f t="shared" ca="1" si="137"/>
        <v>0.12808586762075136</v>
      </c>
      <c r="DU197" s="87">
        <f ca="1">(BJ197-CF197)/(CF197-CE197)</f>
        <v>-0.33333333333323956</v>
      </c>
      <c r="DV197" s="46"/>
      <c r="DW197" s="43">
        <f>_xlfn.STDEV.P(BF197:BI197)</f>
        <v>1.4999999999999986E-2</v>
      </c>
      <c r="DX197" s="76">
        <f ca="1">BO197-$DT$2</f>
        <v>0.70389999999999997</v>
      </c>
      <c r="DY197" s="76">
        <f ca="1">BO197-BP197*100</f>
        <v>5.0343</v>
      </c>
      <c r="DZ197" s="101"/>
      <c r="EA197" s="100">
        <v>-6.3679999999999986</v>
      </c>
      <c r="EB197" s="107">
        <v>-2.3295000000000003</v>
      </c>
      <c r="EC197" s="107">
        <v>-3.0449000000000002</v>
      </c>
      <c r="ED197" s="98">
        <f t="shared" ca="1" si="196"/>
        <v>-4.3304</v>
      </c>
      <c r="EE197" s="66"/>
      <c r="EF197" s="66"/>
      <c r="EH197" s="2" t="e" vm="199">
        <v>#VALUE!</v>
      </c>
      <c r="EJ197" s="10" cm="1">
        <f t="array" aca="1" ref="EJ197" ca="1">_FV(EH197,"Ações em circulação",TRUE)</f>
        <v>29691030</v>
      </c>
      <c r="EK197" s="21">
        <f>VLOOKUP(BK197,Fundamentus!A:U,5,FALSE)</f>
        <v>6.5000000000000002E-2</v>
      </c>
      <c r="EL197" s="2">
        <f ca="1">(BJ197*EJ197)/EK197</f>
        <v>132467672.30769229</v>
      </c>
      <c r="EM197" s="20">
        <v>-460480468.19538462</v>
      </c>
      <c r="EN197" s="20">
        <f t="shared" ca="1" si="139"/>
        <v>-445131119.2555384</v>
      </c>
      <c r="EP197" s="19">
        <f t="shared" ca="1" si="197"/>
        <v>-3.3333333333333437E-2</v>
      </c>
      <c r="EQ197" s="40" t="str">
        <f>IF(VLOOKUP(BK197,Fundamentus!A:U,3,FALSE)&lt;15,"Bom",IF(VLOOKUP(BK197,Fundamentus!A:U,3,FALSE)&gt;15,"Ruim","n/a"))</f>
        <v>Bom</v>
      </c>
      <c r="ER197" s="36" t="str">
        <f>IF(VLOOKUP(BK197,Fundamentus!A:U,4,FALSE)&lt;1,"Baixo",IF(VLOOKUP(BK197,Fundamentus!A:U,4,FALSE)&lt;1.5,"Moderado",IF(VLOOKUP(BK197,Fundamentus!A:U,4,FALSE)&gt;1.5,"Alto","n/a")))</f>
        <v>Baixo</v>
      </c>
      <c r="ES197" s="20" t="str">
        <f>IF(VLOOKUP(BK197,Fundamentus!A:U,8,FALSE)&lt;0,"Risco elevado",IF(VLOOKUP(BK197,Fundamentus!A:U,8,FALSE)&lt;1,"Saudável",IF(VLOOKUP(BK197,Fundamentus!A:U,8,FALSE)&lt;3,"Estável",IF(VLOOKUP(BK197,Fundamentus!A:U,8,FALSE)&gt;3,"Alerta","n/a"))))</f>
        <v>Risco elevado</v>
      </c>
      <c r="ET197" s="36" t="str">
        <f t="shared" si="140"/>
        <v>Ruim</v>
      </c>
      <c r="EU197" s="20" t="str">
        <f>IF(VLOOKUP(BK197,Fundamentus!A:U,12,FALSE)&lt;2,"Subvalorizada",IF(VLOOKUP(BK197,Fundamentus!A:U,12,FALSE)&lt;6,"Muita barata",IF(VLOOKUP(BK197,Fundamentus!A:U,12,FALSE)&lt;6,"Barata",IF(VLOOKUP(BK197,Fundamentus!A:U,12,FALSE)&lt;8,"Atrativa",IF(VLOOKUP(BK197,Fundamentus!A:U,12,FALSE)&gt;8,"Supervalorizada","n/a")))))</f>
        <v>Subvalorizada</v>
      </c>
      <c r="EW197" s="20" t="str">
        <f>IF(VLOOKUP(BK197,Fundamentus!A:U,17,FALSE)&lt;0.1,"Fraco retorno",IF(VLOOKUP(BK197,Fundamentus!A:U,17,FALSE)&gt;0.1,"Bom retorno","n/a"))</f>
        <v>Bom retorno</v>
      </c>
      <c r="EX197" s="20" t="str">
        <f>IF(VLOOKUP(BK197,Fundamentus!A:U,16,FALSE)&lt;0.1,"Ineficiente",IF(VLOOKUP(BK197,Fundamentus!A:U,16,FALSE)&gt;0.1,"Eficiente","n/a"))</f>
        <v>Ineficiente</v>
      </c>
      <c r="EY197" s="41" t="str">
        <f>IF(VLOOKUP(BK197,Fundamentus!A:U,16,FALSE)&lt;0.1,"Oper. Ineficiente",IF(VLOOKUP(BK197,Fundamentus!A:U,16,FALSE)&gt;0.1,"Oper.Eficiente","n/a"))</f>
        <v>Oper. Ineficiente</v>
      </c>
      <c r="EZ197" s="42">
        <f>VLOOKUP(BK197,Fundamentus!A:U,14,FALSE)</f>
        <v>-3.3603000000000001</v>
      </c>
      <c r="FA197" s="20" t="str">
        <f>IF(VLOOKUP(BK197,Fundamentus!A:U,21,FALSE)&lt;0,"Negativo",IF(VLOOKUP(BK197,Fundamentus!A:U,21,FALSE)&lt;0.05,"Fraco",IF(VLOOKUP(BK197,Fundamentus!A:U,21,FALSE)&lt;0.1,"Bom",IF(VLOOKUP(BK197,Fundamentus!A:U,21,FALSE)&gt;0.1,"Muito bom","n/a"))))</f>
        <v>Negativo</v>
      </c>
      <c r="FC197" s="37" t="str">
        <f>IF(VLOOKUP(BK197,Fundamentus!A:U,15,FALSE)&gt;1,"Bom",IF(VLOOKUP(BK197,Fundamentus!A:U,15,FALSE)&lt;1,"Ruim","n/a"))</f>
        <v>Ruim</v>
      </c>
      <c r="FD197" s="20" t="str">
        <f>IF(VLOOKUP(BK197,Fundamentus!A:U,20,FALSE)&lt;0.5,"Baixa",IF(VLOOKUP(BK197,Fundamentus!A:U,20,FALSE)&lt;1,"Moderada",IF(VLOOKUP(BK197,Fundamentus!A:U,20,FALSE)&lt;2,"Alerta",IF(VLOOKUP(BK197,Fundamentus!A:U,20,FALSE)&gt;2,"Alta","n/a"))))</f>
        <v>Baixa</v>
      </c>
      <c r="FE197" s="10"/>
    </row>
    <row r="198" spans="1:161" s="2" customFormat="1" ht="11.25" hidden="1"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8">
        <v>25.99</v>
      </c>
      <c r="BC198" s="62">
        <v>25.4</v>
      </c>
      <c r="BD198" s="62">
        <v>25.82</v>
      </c>
      <c r="BE198" s="62">
        <v>26.83</v>
      </c>
      <c r="BF198" s="62">
        <v>25.99</v>
      </c>
      <c r="BG198" s="81">
        <v>25.4</v>
      </c>
      <c r="BH198" s="62">
        <v>26.4</v>
      </c>
      <c r="BI198" s="62">
        <v>26.17</v>
      </c>
      <c r="BJ198" s="62" cm="1">
        <f t="array" aca="1" ref="BJ198" ca="1">_FV(EH198,"Preço")</f>
        <v>26.11</v>
      </c>
      <c r="BK198" s="83" t="s">
        <v>194</v>
      </c>
      <c r="BL198" s="44" cm="1">
        <f t="array" aca="1" ref="BL198" ca="1">_FV(EH198,"Média de volume",TRUE)</f>
        <v>2700</v>
      </c>
      <c r="BM198" s="44">
        <v>1700</v>
      </c>
      <c r="BN198" s="44" cm="1">
        <f t="array" aca="1" ref="BN198" ca="1">_FV(EH198,"Volume")</f>
        <v>500</v>
      </c>
      <c r="BO198" s="32" cm="1">
        <f t="array" aca="1" ref="BO198" ca="1">_FV(EH198,"Beta")</f>
        <v>0.41220000000000001</v>
      </c>
      <c r="BP198" s="86" cm="1">
        <f t="array" aca="1" ref="BP198" ca="1">_FV(EH198,"Variação (%)",TRUE)</f>
        <v>-2.2929999999999999E-3</v>
      </c>
      <c r="BQ198" s="48"/>
      <c r="BR198" s="48"/>
      <c r="BT198" s="20" cm="1">
        <f t="array" aca="1" ref="BT198" ca="1">_FV(EH198,"Baixo")</f>
        <v>26.11</v>
      </c>
      <c r="BU198" s="20" cm="1">
        <f t="array" aca="1" ref="BU198" ca="1">_FV(EH198,"Alto")</f>
        <v>26.24</v>
      </c>
      <c r="BV198" s="32"/>
      <c r="BW198" s="73">
        <f ca="1">SQRT(22.5*(BJ198/VLOOKUP(BK198,Fundamentus!A:U,3,FALSE))*(BJ198/VLOOKUP(BK198,Fundamentus!A:U,4,FALSE)))</f>
        <v>87.106490490637768</v>
      </c>
      <c r="BY198" s="72">
        <f t="shared" ref="BY198:BY261" ca="1" si="198">(BJ198 - BI198) / BI198</f>
        <v>-2.2927015666794905E-3</v>
      </c>
      <c r="BZ198" s="8"/>
      <c r="CA198" s="71">
        <f t="shared" si="143"/>
        <v>23.48</v>
      </c>
      <c r="CB198" s="71">
        <f t="shared" ref="CB198:CB261" si="199">MAX(A198:BI198)</f>
        <v>37.15</v>
      </c>
      <c r="CC198" s="71">
        <f t="shared" si="144"/>
        <v>27.5966393442623</v>
      </c>
      <c r="CD198" s="17"/>
      <c r="CE198" s="43">
        <f t="shared" si="141"/>
        <v>25.63432463251435</v>
      </c>
      <c r="CF198" s="18">
        <f>FORECAST("04/07/2025", BF198:BI198, $BF$5:$BI$5)</f>
        <v>26.375</v>
      </c>
      <c r="CG198" s="43">
        <f t="shared" si="142"/>
        <v>27.11567536748565</v>
      </c>
      <c r="CI198" s="17"/>
      <c r="CJ198" s="20">
        <f>CA198-2*(CB198-CM198)</f>
        <v>7.0466666666666704</v>
      </c>
      <c r="CK198" s="20">
        <f>CM198-(CB198-CA198)</f>
        <v>15.263333333333335</v>
      </c>
      <c r="CL198" s="20">
        <f>2*CM198-CB198</f>
        <v>20.716666666666669</v>
      </c>
      <c r="CM198" s="48">
        <f>(CB198+CA198+BI198)/3</f>
        <v>28.933333333333334</v>
      </c>
      <c r="CN198" s="20">
        <f>2*CM198-CA198</f>
        <v>34.38666666666667</v>
      </c>
      <c r="CO198" s="20">
        <f>CM198+(CB198-CA198)</f>
        <v>42.603333333333332</v>
      </c>
      <c r="CP198" s="20">
        <f>CB198+2*(CM198-CA198)</f>
        <v>48.056666666666665</v>
      </c>
      <c r="CQ198" s="2" cm="1">
        <f t="array" aca="1" ref="CQ198" ca="1">MAX(_xlfn._xlws.FILTER(CJ198:CP198,CJ198:CP198&lt;BJ198))</f>
        <v>20.716666666666669</v>
      </c>
      <c r="CR198" s="2" cm="1">
        <f t="array" aca="1" ref="CR198" ca="1">MIN(_xlfn._xlws.FILTER($CJ198:$CP198,$CJ198:$CP198&gt;BJ198))</f>
        <v>28.933333333333334</v>
      </c>
      <c r="CS198" s="19">
        <f t="shared" ca="1" si="179"/>
        <v>0.39662107803700719</v>
      </c>
      <c r="CT198" s="23">
        <f t="shared" ca="1" si="180"/>
        <v>-0.1983105390185036</v>
      </c>
      <c r="CU198" s="23">
        <f t="shared" ca="1" si="181"/>
        <v>-0.13220702601233572</v>
      </c>
      <c r="CV198" s="23">
        <f t="shared" ca="1" si="182"/>
        <v>-7.9324215607401438E-2</v>
      </c>
      <c r="CW198" s="23">
        <f t="shared" ca="1" si="183"/>
        <v>-4.4069008670778578E-2</v>
      </c>
      <c r="CX198" s="23">
        <f t="shared" ca="1" si="184"/>
        <v>-2.3330651649235718E-2</v>
      </c>
      <c r="CY198" s="23">
        <f t="shared" ca="1" si="185"/>
        <v>-1.2018820546575975E-2</v>
      </c>
      <c r="CZ198" s="23">
        <f t="shared" ca="1" si="186"/>
        <v>-6.1018627390308795E-3</v>
      </c>
      <c r="DA198" s="24">
        <f t="shared" ca="1" si="187"/>
        <v>6.1018627390308795E-3</v>
      </c>
      <c r="DB198" s="24">
        <f t="shared" ca="1" si="188"/>
        <v>1.2018820546575975E-2</v>
      </c>
      <c r="DC198" s="24">
        <f t="shared" ca="1" si="189"/>
        <v>2.3330651649235718E-2</v>
      </c>
      <c r="DD198" s="24">
        <f t="shared" ca="1" si="190"/>
        <v>4.4069008670778578E-2</v>
      </c>
      <c r="DE198" s="24">
        <f t="shared" ca="1" si="191"/>
        <v>7.9324215607401438E-2</v>
      </c>
      <c r="DF198" s="24">
        <f t="shared" ca="1" si="192"/>
        <v>0.13220702601233572</v>
      </c>
      <c r="DG198" s="24">
        <f t="shared" ca="1" si="193"/>
        <v>0.1983105390185036</v>
      </c>
      <c r="DI198" s="19" cm="1">
        <f t="array" aca="1" ref="DI198" ca="1">MAX(_xlfn._xlws.FILTER(CT198:DG198,CT198:DG198&lt;BP198))</f>
        <v>-6.1018627390308795E-3</v>
      </c>
      <c r="DJ198" s="19" cm="1">
        <f t="array" aca="1" ref="DJ198" ca="1">MIN(_xlfn._xlws.FILTER(CT198:DG198,CT198:DG198&gt;BP198))</f>
        <v>6.1018627390308795E-3</v>
      </c>
      <c r="DK198" s="2" cm="1">
        <f t="array" aca="1" ref="DK198" ca="1">_FV(EH198,"Fechamento anterior",TRUE)</f>
        <v>26.17</v>
      </c>
      <c r="DL198" s="36">
        <f ca="1">(BJ198-DM198)/(DN198-DM198)</f>
        <v>0.31213101107518304</v>
      </c>
      <c r="DM198" s="18">
        <f t="shared" ca="1" si="194"/>
        <v>26.010314252119564</v>
      </c>
      <c r="DN198" s="18">
        <f t="shared" ca="1" si="195"/>
        <v>26.32968574788044</v>
      </c>
      <c r="DO198" s="9"/>
      <c r="DP198" s="9"/>
      <c r="DQ198" s="94">
        <v>1.4343719041705607E-2</v>
      </c>
      <c r="DR198" s="94">
        <v>1.4343719041705607E-2</v>
      </c>
      <c r="DS198" s="94">
        <v>1.1961575438772949E-2</v>
      </c>
      <c r="DT198" s="94">
        <f t="shared" ref="DT198:DT261" ca="1" si="200">DJ198-DI198</f>
        <v>1.2203725478061759E-2</v>
      </c>
      <c r="DU198" s="87">
        <f ca="1">(BJ198-CF198)/(CF198-CE198)</f>
        <v>-0.35778157561738355</v>
      </c>
      <c r="DV198" s="46"/>
      <c r="DW198" s="43">
        <f>_xlfn.STDEV.P(BF198:BI198)</f>
        <v>0.3703376837428245</v>
      </c>
      <c r="DX198" s="76">
        <f ca="1">BO198-$DT$2</f>
        <v>-0.58490000000000009</v>
      </c>
      <c r="DY198" s="76">
        <f ca="1">BO198-BP198*100</f>
        <v>0.64149999999999996</v>
      </c>
      <c r="DZ198" s="101"/>
      <c r="EA198" s="100">
        <v>0.29870000000000008</v>
      </c>
      <c r="EB198" s="107">
        <v>2.7804000000000002</v>
      </c>
      <c r="EC198" s="107">
        <v>0.79599999999999993</v>
      </c>
      <c r="ED198" s="98">
        <f t="shared" ca="1" si="196"/>
        <v>-1.2263999999999999</v>
      </c>
      <c r="EE198" s="66"/>
      <c r="EF198" s="66"/>
      <c r="EH198" s="2" t="e" vm="200">
        <v>#VALUE!</v>
      </c>
      <c r="EJ198" s="10" cm="1">
        <f t="array" aca="1" ref="EJ198" ca="1">_FV(EH198,"Ações em circulação",TRUE)</f>
        <v>77855300</v>
      </c>
      <c r="EK198" s="21">
        <f>VLOOKUP(BK198,Fundamentus!A:U,5,FALSE)</f>
        <v>0.23400000000000001</v>
      </c>
      <c r="EL198" s="2">
        <f ca="1">(BJ198*EJ198)/EK198</f>
        <v>8687187534.1880341</v>
      </c>
      <c r="EM198" s="20">
        <v>383114618.99145299</v>
      </c>
      <c r="EN198" s="20">
        <f t="shared" ref="EN198:EN261" ca="1" si="201">EL198*EZ198</f>
        <v>382236251.50427347</v>
      </c>
      <c r="EP198" s="19">
        <f t="shared" ca="1" si="197"/>
        <v>-2.2927015666794892E-3</v>
      </c>
      <c r="EQ198" s="40" t="str">
        <f>IF(VLOOKUP(BK198,Fundamentus!A:U,3,FALSE)&lt;15,"Bom",IF(VLOOKUP(BK198,Fundamentus!A:U,3,FALSE)&gt;15,"Ruim","n/a"))</f>
        <v>Bom</v>
      </c>
      <c r="ER198" s="36" t="str">
        <f>IF(VLOOKUP(BK198,Fundamentus!A:U,4,FALSE)&lt;1,"Baixo",IF(VLOOKUP(BK198,Fundamentus!A:U,4,FALSE)&lt;1.5,"Moderado",IF(VLOOKUP(BK198,Fundamentus!A:U,4,FALSE)&gt;1.5,"Alto","n/a")))</f>
        <v>Baixo</v>
      </c>
      <c r="ES198" s="20" t="str">
        <f>IF(VLOOKUP(BK198,Fundamentus!A:U,8,FALSE)&lt;0,"Risco elevado",IF(VLOOKUP(BK198,Fundamentus!A:U,8,FALSE)&lt;1,"Saudável",IF(VLOOKUP(BK198,Fundamentus!A:U,8,FALSE)&lt;3,"Estável",IF(VLOOKUP(BK198,Fundamentus!A:U,8,FALSE)&gt;3,"Alerta","n/a"))))</f>
        <v>Risco elevado</v>
      </c>
      <c r="ET198" s="36" t="str">
        <f t="shared" ref="ET198:ET261" si="202">IF(EK198&gt;1,"Bom","Ruim")</f>
        <v>Ruim</v>
      </c>
      <c r="EU198" s="20" t="str">
        <f>IF(VLOOKUP(BK198,Fundamentus!A:U,12,FALSE)&lt;2,"Subvalorizada",IF(VLOOKUP(BK198,Fundamentus!A:U,12,FALSE)&lt;6,"Muita barata",IF(VLOOKUP(BK198,Fundamentus!A:U,12,FALSE)&lt;6,"Barata",IF(VLOOKUP(BK198,Fundamentus!A:U,12,FALSE)&lt;8,"Atrativa",IF(VLOOKUP(BK198,Fundamentus!A:U,12,FALSE)&gt;8,"Supervalorizada","n/a")))))</f>
        <v>Muita barata</v>
      </c>
      <c r="EW198" s="20" t="str">
        <f>IF(VLOOKUP(BK198,Fundamentus!A:U,17,FALSE)&lt;0.1,"Fraco retorno",IF(VLOOKUP(BK198,Fundamentus!A:U,17,FALSE)&gt;0.1,"Bom retorno","n/a"))</f>
        <v>Fraco retorno</v>
      </c>
      <c r="EX198" s="20" t="str">
        <f>IF(VLOOKUP(BK198,Fundamentus!A:U,16,FALSE)&lt;0.1,"Ineficiente",IF(VLOOKUP(BK198,Fundamentus!A:U,16,FALSE)&gt;0.1,"Eficiente","n/a"))</f>
        <v>Ineficiente</v>
      </c>
      <c r="EY198" s="41" t="str">
        <f>IF(VLOOKUP(BK198,Fundamentus!A:U,16,FALSE)&lt;0.1,"Oper. Ineficiente",IF(VLOOKUP(BK198,Fundamentus!A:U,16,FALSE)&gt;0.1,"Oper.Eficiente","n/a"))</f>
        <v>Oper. Ineficiente</v>
      </c>
      <c r="EZ198" s="42">
        <f>VLOOKUP(BK198,Fundamentus!A:U,14,FALSE)</f>
        <v>4.3999999999999997E-2</v>
      </c>
      <c r="FA198" s="20" t="str">
        <f>IF(VLOOKUP(BK198,Fundamentus!A:U,21,FALSE)&lt;0,"Negativo",IF(VLOOKUP(BK198,Fundamentus!A:U,21,FALSE)&lt;0.05,"Fraco",IF(VLOOKUP(BK198,Fundamentus!A:U,21,FALSE)&lt;0.1,"Bom",IF(VLOOKUP(BK198,Fundamentus!A:U,21,FALSE)&gt;0.1,"Muito bom","n/a"))))</f>
        <v>Bom</v>
      </c>
      <c r="FC198" s="37" t="str">
        <f>IF(VLOOKUP(BK198,Fundamentus!A:U,15,FALSE)&gt;1,"Bom",IF(VLOOKUP(BK198,Fundamentus!A:U,15,FALSE)&lt;1,"Ruim","n/a"))</f>
        <v>Ruim</v>
      </c>
      <c r="FD198" s="20" t="str">
        <f>IF(VLOOKUP(BK198,Fundamentus!A:U,20,FALSE)&lt;0.5,"Baixa",IF(VLOOKUP(BK198,Fundamentus!A:U,20,FALSE)&lt;1,"Moderada",IF(VLOOKUP(BK198,Fundamentus!A:U,20,FALSE)&lt;2,"Alerta",IF(VLOOKUP(BK198,Fundamentus!A:U,20,FALSE)&gt;2,"Alta","n/a"))))</f>
        <v>Alerta</v>
      </c>
      <c r="FE198" s="10"/>
    </row>
    <row r="199" spans="1:161" s="2" customFormat="1" ht="11.25" hidden="1"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8">
        <v>14.6</v>
      </c>
      <c r="BC199" s="62">
        <v>16.5</v>
      </c>
      <c r="BD199" s="62">
        <v>17.059999999999999</v>
      </c>
      <c r="BE199" s="62">
        <v>17.829999999999998</v>
      </c>
      <c r="BF199" s="62">
        <v>17.100000000000001</v>
      </c>
      <c r="BG199" s="81">
        <v>16.649999999999999</v>
      </c>
      <c r="BH199" s="62">
        <v>16.89</v>
      </c>
      <c r="BI199" s="62">
        <v>19.940000000000001</v>
      </c>
      <c r="BJ199" s="62" cm="1">
        <f t="array" aca="1" ref="BJ199" ca="1">_FV(EH199,"Preço")</f>
        <v>19.91</v>
      </c>
      <c r="BK199" s="83" t="s">
        <v>195</v>
      </c>
      <c r="BL199" s="44" cm="1">
        <f t="array" aca="1" ref="BL199" ca="1">_FV(EH199,"Média de volume",TRUE)</f>
        <v>2551040</v>
      </c>
      <c r="BM199" s="44">
        <v>3767000</v>
      </c>
      <c r="BN199" s="44" cm="1">
        <f t="array" aca="1" ref="BN199" ca="1">_FV(EH199,"Volume")</f>
        <v>1956900</v>
      </c>
      <c r="BO199" s="32" cm="1">
        <f t="array" aca="1" ref="BO199" ca="1">_FV(EH199,"Beta")</f>
        <v>1.9140999999999999</v>
      </c>
      <c r="BP199" s="86" cm="1">
        <f t="array" aca="1" ref="BP199" ca="1">_FV(EH199,"Variação (%)",TRUE)</f>
        <v>-1.505E-3</v>
      </c>
      <c r="BQ199" s="48"/>
      <c r="BR199" s="48"/>
      <c r="BT199" s="20" cm="1">
        <f t="array" aca="1" ref="BT199" ca="1">_FV(EH199,"Baixo")</f>
        <v>19.46</v>
      </c>
      <c r="BU199" s="20" cm="1">
        <f t="array" aca="1" ref="BU199" ca="1">_FV(EH199,"Alto")</f>
        <v>20.21</v>
      </c>
      <c r="BV199" s="32"/>
      <c r="BW199" s="73">
        <f ca="1">SQRT(22.5*(BJ199/VLOOKUP(BK199,Fundamentus!A:U,3,FALSE))*(BJ199/VLOOKUP(BK199,Fundamentus!A:U,4,FALSE)))</f>
        <v>20.659683555397184</v>
      </c>
      <c r="BY199" s="72">
        <f t="shared" ca="1" si="198"/>
        <v>-1.5045135406219225E-3</v>
      </c>
      <c r="BZ199" s="8"/>
      <c r="CA199" s="71">
        <f t="shared" si="143"/>
        <v>7.44</v>
      </c>
      <c r="CB199" s="71">
        <f t="shared" si="199"/>
        <v>19.940000000000001</v>
      </c>
      <c r="CC199" s="71">
        <f t="shared" si="144"/>
        <v>11.242704918032789</v>
      </c>
      <c r="CD199" s="17"/>
      <c r="CE199" s="43">
        <f t="shared" ref="CE199:CE262" si="203">CF199-DW199*2</f>
        <v>17.165899027763288</v>
      </c>
      <c r="CF199" s="18">
        <f>FORECAST("04/07/2025", BF199:BI199, $BF$5:$BI$5)</f>
        <v>19.835000000000946</v>
      </c>
      <c r="CG199" s="43">
        <f t="shared" ref="CG199:CG262" si="204">CF199+DW199*2</f>
        <v>22.504100972238604</v>
      </c>
      <c r="CI199" s="17"/>
      <c r="CJ199" s="20">
        <f>CA199-2*(CB199-CM199)</f>
        <v>-0.89333333333333176</v>
      </c>
      <c r="CK199" s="20">
        <f>CM199-(CB199-CA199)</f>
        <v>3.2733333333333352</v>
      </c>
      <c r="CL199" s="20">
        <f>2*CM199-CB199</f>
        <v>11.606666666666669</v>
      </c>
      <c r="CM199" s="48">
        <f>(CB199+CA199+BI199)/3</f>
        <v>15.773333333333335</v>
      </c>
      <c r="CN199" s="20">
        <f>2*CM199-CA199</f>
        <v>24.106666666666669</v>
      </c>
      <c r="CO199" s="20">
        <f>CM199+(CB199-CA199)</f>
        <v>28.273333333333333</v>
      </c>
      <c r="CP199" s="20">
        <f>CB199+2*(CM199-CA199)</f>
        <v>36.606666666666669</v>
      </c>
      <c r="CQ199" s="2" cm="1">
        <f t="array" aca="1" ref="CQ199" ca="1">MAX(_xlfn._xlws.FILTER(CJ199:CP199,CJ199:CP199&lt;BJ199))</f>
        <v>15.773333333333335</v>
      </c>
      <c r="CR199" s="2" cm="1">
        <f t="array" aca="1" ref="CR199" ca="1">MIN(_xlfn._xlws.FILTER($CJ199:$CP199,$CJ199:$CP199&gt;BJ199))</f>
        <v>24.106666666666669</v>
      </c>
      <c r="CS199" s="19">
        <f t="shared" ca="1" si="179"/>
        <v>0.5283178360101437</v>
      </c>
      <c r="CT199" s="23">
        <f t="shared" ca="1" si="180"/>
        <v>-0.26415891800507185</v>
      </c>
      <c r="CU199" s="23">
        <f t="shared" ca="1" si="181"/>
        <v>-0.17610594533671456</v>
      </c>
      <c r="CV199" s="23">
        <f t="shared" ca="1" si="182"/>
        <v>-0.10566356720202874</v>
      </c>
      <c r="CW199" s="23">
        <f t="shared" ca="1" si="183"/>
        <v>-5.8701981778904858E-2</v>
      </c>
      <c r="CX199" s="23">
        <f t="shared" ca="1" si="184"/>
        <v>-3.1077519765302569E-2</v>
      </c>
      <c r="CY199" s="23">
        <f t="shared" ca="1" si="185"/>
        <v>-1.6009631394246777E-2</v>
      </c>
      <c r="CZ199" s="23">
        <f t="shared" ca="1" si="186"/>
        <v>-8.1279667078483653E-3</v>
      </c>
      <c r="DA199" s="24">
        <f t="shared" ca="1" si="187"/>
        <v>8.1279667078483653E-3</v>
      </c>
      <c r="DB199" s="24">
        <f t="shared" ca="1" si="188"/>
        <v>1.6009631394246777E-2</v>
      </c>
      <c r="DC199" s="24">
        <f t="shared" ca="1" si="189"/>
        <v>3.1077519765302569E-2</v>
      </c>
      <c r="DD199" s="24">
        <f t="shared" ca="1" si="190"/>
        <v>5.8701981778904858E-2</v>
      </c>
      <c r="DE199" s="24">
        <f t="shared" ca="1" si="191"/>
        <v>0.10566356720202874</v>
      </c>
      <c r="DF199" s="24">
        <f t="shared" ca="1" si="192"/>
        <v>0.17610594533671456</v>
      </c>
      <c r="DG199" s="24">
        <f t="shared" ca="1" si="193"/>
        <v>0.26415891800507185</v>
      </c>
      <c r="DI199" s="19" cm="1">
        <f t="array" aca="1" ref="DI199" ca="1">MAX(_xlfn._xlws.FILTER(CT199:DG199,CT199:DG199&lt;BP199))</f>
        <v>-8.1279667078483653E-3</v>
      </c>
      <c r="DJ199" s="19" cm="1">
        <f t="array" aca="1" ref="DJ199" ca="1">MIN(_xlfn._xlws.FILTER(CT199:DG199,CT199:DG199&gt;BP199))</f>
        <v>8.1279667078483653E-3</v>
      </c>
      <c r="DK199" s="2" cm="1">
        <f t="array" aca="1" ref="DK199" ca="1">_FV(EH199,"Fechamento anterior",TRUE)</f>
        <v>19.940000000000001</v>
      </c>
      <c r="DL199" s="36">
        <f ca="1">(BJ199-DM199)/(DN199-DM199)</f>
        <v>0.40744834503510119</v>
      </c>
      <c r="DM199" s="18">
        <f t="shared" ca="1" si="194"/>
        <v>19.777928343845506</v>
      </c>
      <c r="DN199" s="18">
        <f t="shared" ca="1" si="195"/>
        <v>20.102071656154497</v>
      </c>
      <c r="DO199" s="9"/>
      <c r="DP199" s="9"/>
      <c r="DQ199" s="94">
        <v>4.6245373455476779E-3</v>
      </c>
      <c r="DR199" s="94">
        <v>1.1449500446708338E-2</v>
      </c>
      <c r="DS199" s="94">
        <v>2.4447438008282186E-2</v>
      </c>
      <c r="DT199" s="94">
        <f t="shared" ca="1" si="200"/>
        <v>1.6255933415696731E-2</v>
      </c>
      <c r="DU199" s="87">
        <f ca="1">(BJ199-CF199)/(CF199-CE199)</f>
        <v>2.8099349098875619E-2</v>
      </c>
      <c r="DV199" s="46"/>
      <c r="DW199" s="43">
        <f>_xlfn.STDEV.P(BF199:BI199)</f>
        <v>1.3345504861188284</v>
      </c>
      <c r="DX199" s="76">
        <f ca="1">BO199-$DT$2</f>
        <v>0.91699999999999982</v>
      </c>
      <c r="DY199" s="76">
        <f ca="1">BO199-BP199*100</f>
        <v>2.0646</v>
      </c>
      <c r="DZ199" s="101"/>
      <c r="EA199" s="100">
        <v>1.2911000000000001</v>
      </c>
      <c r="EB199" s="107">
        <v>-1.1280000000000001</v>
      </c>
      <c r="EC199" s="107">
        <v>4.9077999999999999</v>
      </c>
      <c r="ED199" s="98">
        <f t="shared" ca="1" si="196"/>
        <v>-1.1476000000000002</v>
      </c>
      <c r="EE199" s="66"/>
      <c r="EF199" s="66"/>
      <c r="EH199" s="2" t="e" vm="201">
        <v>#VALUE!</v>
      </c>
      <c r="EJ199" s="10" cm="1">
        <f t="array" aca="1" ref="EJ199" ca="1">_FV(EH199,"Ações em circulação",TRUE)</f>
        <v>308245100</v>
      </c>
      <c r="EK199" s="21">
        <f>VLOOKUP(BK199,Fundamentus!A:U,5,FALSE)</f>
        <v>0.65800000000000003</v>
      </c>
      <c r="EL199" s="2">
        <f ca="1">(BJ199*EJ199)/EK199</f>
        <v>9326990791.7933121</v>
      </c>
      <c r="EM199" s="20">
        <v>462381703.72796351</v>
      </c>
      <c r="EN199" s="20">
        <f t="shared" ca="1" si="201"/>
        <v>461686044.19376898</v>
      </c>
      <c r="EP199" s="19">
        <f t="shared" ca="1" si="197"/>
        <v>-1.5045135406218657E-3</v>
      </c>
      <c r="EQ199" s="40" t="str">
        <f>IF(VLOOKUP(BK199,Fundamentus!A:U,3,FALSE)&lt;15,"Bom",IF(VLOOKUP(BK199,Fundamentus!A:U,3,FALSE)&gt;15,"Ruim","n/a"))</f>
        <v>Bom</v>
      </c>
      <c r="ER199" s="36" t="str">
        <f>IF(VLOOKUP(BK199,Fundamentus!A:U,4,FALSE)&lt;1,"Baixo",IF(VLOOKUP(BK199,Fundamentus!A:U,4,FALSE)&lt;1.5,"Moderado",IF(VLOOKUP(BK199,Fundamentus!A:U,4,FALSE)&gt;1.5,"Alto","n/a")))</f>
        <v>Alto</v>
      </c>
      <c r="ES199" s="20" t="str">
        <f>IF(VLOOKUP(BK199,Fundamentus!A:U,8,FALSE)&lt;0,"Risco elevado",IF(VLOOKUP(BK199,Fundamentus!A:U,8,FALSE)&lt;1,"Saudável",IF(VLOOKUP(BK199,Fundamentus!A:U,8,FALSE)&lt;3,"Estável",IF(VLOOKUP(BK199,Fundamentus!A:U,8,FALSE)&gt;3,"Alerta","n/a"))))</f>
        <v>Alerta</v>
      </c>
      <c r="ET199" s="36" t="str">
        <f t="shared" si="202"/>
        <v>Ruim</v>
      </c>
      <c r="EU199" s="20" t="str">
        <f>IF(VLOOKUP(BK199,Fundamentus!A:U,12,FALSE)&lt;2,"Subvalorizada",IF(VLOOKUP(BK199,Fundamentus!A:U,12,FALSE)&lt;6,"Muita barata",IF(VLOOKUP(BK199,Fundamentus!A:U,12,FALSE)&lt;6,"Barata",IF(VLOOKUP(BK199,Fundamentus!A:U,12,FALSE)&lt;8,"Atrativa",IF(VLOOKUP(BK199,Fundamentus!A:U,12,FALSE)&gt;8,"Supervalorizada","n/a")))))</f>
        <v>Muita barata</v>
      </c>
      <c r="EW199" s="20" t="str">
        <f>IF(VLOOKUP(BK199,Fundamentus!A:U,17,FALSE)&lt;0.1,"Fraco retorno",IF(VLOOKUP(BK199,Fundamentus!A:U,17,FALSE)&gt;0.1,"Bom retorno","n/a"))</f>
        <v>Bom retorno</v>
      </c>
      <c r="EX199" s="20" t="str">
        <f>IF(VLOOKUP(BK199,Fundamentus!A:U,16,FALSE)&lt;0.1,"Ineficiente",IF(VLOOKUP(BK199,Fundamentus!A:U,16,FALSE)&gt;0.1,"Eficiente","n/a"))</f>
        <v>Eficiente</v>
      </c>
      <c r="EY199" s="41" t="str">
        <f>IF(VLOOKUP(BK199,Fundamentus!A:U,16,FALSE)&lt;0.1,"Oper. Ineficiente",IF(VLOOKUP(BK199,Fundamentus!A:U,16,FALSE)&gt;0.1,"Oper.Eficiente","n/a"))</f>
        <v>Oper.Eficiente</v>
      </c>
      <c r="EZ199" s="42">
        <f>VLOOKUP(BK199,Fundamentus!A:U,14,FALSE)</f>
        <v>4.9500000000000002E-2</v>
      </c>
      <c r="FA199" s="20" t="str">
        <f>IF(VLOOKUP(BK199,Fundamentus!A:U,21,FALSE)&lt;0,"Negativo",IF(VLOOKUP(BK199,Fundamentus!A:U,21,FALSE)&lt;0.05,"Fraco",IF(VLOOKUP(BK199,Fundamentus!A:U,21,FALSE)&lt;0.1,"Bom",IF(VLOOKUP(BK199,Fundamentus!A:U,21,FALSE)&gt;0.1,"Muito bom","n/a"))))</f>
        <v>Muito bom</v>
      </c>
      <c r="FC199" s="37" t="str">
        <f>IF(VLOOKUP(BK199,Fundamentus!A:U,15,FALSE)&gt;1,"Bom",IF(VLOOKUP(BK199,Fundamentus!A:U,15,FALSE)&lt;1,"Ruim","n/a"))</f>
        <v>Bom</v>
      </c>
      <c r="FD199" s="20" t="str">
        <f>IF(VLOOKUP(BK199,Fundamentus!A:U,20,FALSE)&lt;0.5,"Baixa",IF(VLOOKUP(BK199,Fundamentus!A:U,20,FALSE)&lt;1,"Moderada",IF(VLOOKUP(BK199,Fundamentus!A:U,20,FALSE)&lt;2,"Alerta",IF(VLOOKUP(BK199,Fundamentus!A:U,20,FALSE)&gt;2,"Alta","n/a"))))</f>
        <v>Baixa</v>
      </c>
      <c r="FE199" s="10"/>
    </row>
    <row r="200" spans="1:161" s="2" customFormat="1" ht="11.25" hidden="1"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8">
        <v>120.01</v>
      </c>
      <c r="BC200" s="62">
        <v>125.01</v>
      </c>
      <c r="BD200" s="62">
        <v>130.66999999999999</v>
      </c>
      <c r="BE200" s="62">
        <v>192</v>
      </c>
      <c r="BF200" s="62">
        <v>178.01</v>
      </c>
      <c r="BG200" s="81">
        <v>169.82</v>
      </c>
      <c r="BH200" s="62">
        <v>172.18</v>
      </c>
      <c r="BI200" s="62">
        <v>159.75</v>
      </c>
      <c r="BJ200" s="62" cm="1">
        <f t="array" aca="1" ref="BJ200" ca="1">_FV(EH200,"Preço")</f>
        <v>163.74</v>
      </c>
      <c r="BK200" s="83" t="s">
        <v>196</v>
      </c>
      <c r="BL200" s="44" cm="1">
        <f t="array" aca="1" ref="BL200" ca="1">_FV(EH200,"Média de volume",TRUE)</f>
        <v>317860</v>
      </c>
      <c r="BM200" s="44">
        <v>131400</v>
      </c>
      <c r="BN200" s="44" cm="1">
        <f t="array" aca="1" ref="BN200" ca="1">_FV(EH200,"Volume")</f>
        <v>62600</v>
      </c>
      <c r="BO200" s="32" cm="1">
        <f t="array" aca="1" ref="BO200" ca="1">_FV(EH200,"Beta")</f>
        <v>1.5518000000000001</v>
      </c>
      <c r="BP200" s="86" cm="1">
        <f t="array" aca="1" ref="BP200" ca="1">_FV(EH200,"Variação (%)",TRUE)</f>
        <v>2.4976999999999999E-2</v>
      </c>
      <c r="BQ200" s="48"/>
      <c r="BR200" s="48"/>
      <c r="BT200" s="20" cm="1">
        <f t="array" aca="1" ref="BT200" ca="1">_FV(EH200,"Baixo")</f>
        <v>160.69999999999999</v>
      </c>
      <c r="BU200" s="20" cm="1">
        <f t="array" aca="1" ref="BU200" ca="1">_FV(EH200,"Alto")</f>
        <v>165.5</v>
      </c>
      <c r="BV200" s="32"/>
      <c r="BW200" s="73" t="e">
        <f ca="1">SQRT(22.5*(BJ200/VLOOKUP(BK200,Fundamentus!A:U,3,FALSE))*(BJ200/VLOOKUP(BK200,Fundamentus!A:U,4,FALSE)))</f>
        <v>#NUM!</v>
      </c>
      <c r="BY200" s="72">
        <f t="shared" ca="1" si="198"/>
        <v>2.4976525821596301E-2</v>
      </c>
      <c r="BZ200" s="8"/>
      <c r="CA200" s="71">
        <f t="shared" si="143"/>
        <v>8.08</v>
      </c>
      <c r="CB200" s="71">
        <f t="shared" si="199"/>
        <v>268.51</v>
      </c>
      <c r="CC200" s="71">
        <f t="shared" si="144"/>
        <v>105.8833606557377</v>
      </c>
      <c r="CD200" s="17"/>
      <c r="CE200" s="43">
        <f t="shared" si="203"/>
        <v>143.64435937871011</v>
      </c>
      <c r="CF200" s="18">
        <f>FORECAST("04/07/2025", BF200:BI200, $BF$5:$BI$5)</f>
        <v>156.83499999999913</v>
      </c>
      <c r="CG200" s="43">
        <f t="shared" si="204"/>
        <v>170.02564062128815</v>
      </c>
      <c r="CI200" s="17"/>
      <c r="CJ200" s="20">
        <f>CA200-2*(CB200-CM200)</f>
        <v>-238.04666666666665</v>
      </c>
      <c r="CK200" s="20">
        <f>CM200-(CB200-CA200)</f>
        <v>-114.98333333333335</v>
      </c>
      <c r="CL200" s="20">
        <f>2*CM200-CB200</f>
        <v>22.383333333333326</v>
      </c>
      <c r="CM200" s="48">
        <f>(CB200+CA200+BI200)/3</f>
        <v>145.44666666666666</v>
      </c>
      <c r="CN200" s="20">
        <f>2*CM200-CA200</f>
        <v>282.81333333333333</v>
      </c>
      <c r="CO200" s="20">
        <f>CM200+(CB200-CA200)</f>
        <v>405.87666666666667</v>
      </c>
      <c r="CP200" s="20">
        <f>CB200+2*(CM200-CA200)</f>
        <v>543.24333333333334</v>
      </c>
      <c r="CQ200" s="2" cm="1">
        <f t="array" aca="1" ref="CQ200" ca="1">MAX(_xlfn._xlws.FILTER(CJ200:CP200,CJ200:CP200&lt;BJ200))</f>
        <v>145.44666666666666</v>
      </c>
      <c r="CR200" s="2" cm="1">
        <f t="array" aca="1" ref="CR200" ca="1">MIN(_xlfn._xlws.FILTER($CJ200:$CP200,$CJ200:$CP200&gt;BJ200))</f>
        <v>282.81333333333333</v>
      </c>
      <c r="CS200" s="19">
        <f t="shared" ca="1" si="179"/>
        <v>0.94444699087867279</v>
      </c>
      <c r="CT200" s="23">
        <f t="shared" ca="1" si="180"/>
        <v>-0.47222349543933639</v>
      </c>
      <c r="CU200" s="23">
        <f t="shared" ca="1" si="181"/>
        <v>-0.31481566362622426</v>
      </c>
      <c r="CV200" s="23">
        <f t="shared" ca="1" si="182"/>
        <v>-0.18888939817573455</v>
      </c>
      <c r="CW200" s="23">
        <f t="shared" ca="1" si="183"/>
        <v>-0.10493855454207475</v>
      </c>
      <c r="CX200" s="23">
        <f t="shared" ca="1" si="184"/>
        <v>-5.5555705345804285E-2</v>
      </c>
      <c r="CY200" s="23">
        <f t="shared" ca="1" si="185"/>
        <v>-2.8619605784202206E-2</v>
      </c>
      <c r="CZ200" s="23">
        <f t="shared" ca="1" si="186"/>
        <v>-1.4529953705825735E-2</v>
      </c>
      <c r="DA200" s="24">
        <f t="shared" ca="1" si="187"/>
        <v>1.4529953705825735E-2</v>
      </c>
      <c r="DB200" s="24">
        <f t="shared" ca="1" si="188"/>
        <v>2.8619605784202206E-2</v>
      </c>
      <c r="DC200" s="24">
        <f t="shared" ca="1" si="189"/>
        <v>5.5555705345804285E-2</v>
      </c>
      <c r="DD200" s="24">
        <f t="shared" ca="1" si="190"/>
        <v>0.10493855454207475</v>
      </c>
      <c r="DE200" s="24">
        <f t="shared" ca="1" si="191"/>
        <v>0.18888939817573455</v>
      </c>
      <c r="DF200" s="24">
        <f t="shared" ca="1" si="192"/>
        <v>0.31481566362622426</v>
      </c>
      <c r="DG200" s="24">
        <f t="shared" ca="1" si="193"/>
        <v>0.47222349543933639</v>
      </c>
      <c r="DI200" s="19" cm="1">
        <f t="array" aca="1" ref="DI200" ca="1">MAX(_xlfn._xlws.FILTER(CT200:DG200,CT200:DG200&lt;BP200))</f>
        <v>1.4529953705825735E-2</v>
      </c>
      <c r="DJ200" s="19" cm="1">
        <f t="array" aca="1" ref="DJ200" ca="1">MIN(_xlfn._xlws.FILTER(CT200:DG200,CT200:DG200&gt;BP200))</f>
        <v>2.8619605784202206E-2</v>
      </c>
      <c r="DK200" s="2" cm="1">
        <f t="array" aca="1" ref="DK200" ca="1">_FV(EH200,"Fechamento anterior",TRUE)</f>
        <v>159.75</v>
      </c>
      <c r="DL200" s="36">
        <f ca="1">(BJ200-DM200)/(DN200-DM200)</f>
        <v>0.74143577553650153</v>
      </c>
      <c r="DM200" s="18">
        <f t="shared" ca="1" si="194"/>
        <v>162.07116010450565</v>
      </c>
      <c r="DN200" s="18">
        <f t="shared" ca="1" si="195"/>
        <v>164.32198202402631</v>
      </c>
      <c r="DO200" s="9"/>
      <c r="DP200" s="9"/>
      <c r="DQ200" s="94">
        <v>8.3727504765597274E-2</v>
      </c>
      <c r="DR200" s="94">
        <v>2.6113672418873229E-2</v>
      </c>
      <c r="DS200" s="94">
        <v>2.6971840032110402E-2</v>
      </c>
      <c r="DT200" s="94">
        <f t="shared" ca="1" si="200"/>
        <v>1.4089652078376471E-2</v>
      </c>
      <c r="DU200" s="87">
        <f ca="1">(BJ200-CF200)/(CF200-CE200)</f>
        <v>0.52347722891157877</v>
      </c>
      <c r="DV200" s="46"/>
      <c r="DW200" s="43">
        <f>_xlfn.STDEV.P(BF200:BI200)</f>
        <v>6.5953203106445084</v>
      </c>
      <c r="DX200" s="76">
        <f ca="1">BO200-$DT$2</f>
        <v>0.55469999999999997</v>
      </c>
      <c r="DY200" s="76">
        <f ca="1">BO200-BP200*100</f>
        <v>-0.94589999999999996</v>
      </c>
      <c r="DZ200" s="101"/>
      <c r="EA200" s="100">
        <v>-1.4021000000000006</v>
      </c>
      <c r="EB200" s="107">
        <v>2.2271999999999998</v>
      </c>
      <c r="EC200" s="107">
        <v>-0.47209999999999996</v>
      </c>
      <c r="ED200" s="98">
        <f t="shared" ca="1" si="196"/>
        <v>1.5005999999999999</v>
      </c>
      <c r="EE200" s="66"/>
      <c r="EF200" s="66"/>
      <c r="EH200" s="2" t="e" vm="202">
        <v>#VALUE!</v>
      </c>
      <c r="EJ200" s="10" cm="1">
        <f t="array" aca="1" ref="EJ200" ca="1">_FV(EH200,"Ações em circulação",TRUE)</f>
        <v>167041900</v>
      </c>
      <c r="EK200" s="21">
        <f>VLOOKUP(BK200,Fundamentus!A:U,5,FALSE)</f>
        <v>4.1189999999999998</v>
      </c>
      <c r="EL200" s="2">
        <f ca="1">(BJ200*EJ200)/EK200</f>
        <v>6640310926.4384565</v>
      </c>
      <c r="EM200" s="20">
        <v>-127626459.68499635</v>
      </c>
      <c r="EN200" s="20">
        <f t="shared" ca="1" si="201"/>
        <v>-130814125.25083758</v>
      </c>
      <c r="EP200" s="19">
        <f t="shared" ca="1" si="197"/>
        <v>2.4976525821596374E-2</v>
      </c>
      <c r="EQ200" s="40" t="str">
        <f>IF(VLOOKUP(BK200,Fundamentus!A:U,3,FALSE)&lt;15,"Bom",IF(VLOOKUP(BK200,Fundamentus!A:U,3,FALSE)&gt;15,"Ruim","n/a"))</f>
        <v>Bom</v>
      </c>
      <c r="ER200" s="36" t="str">
        <f>IF(VLOOKUP(BK200,Fundamentus!A:U,4,FALSE)&lt;1,"Baixo",IF(VLOOKUP(BK200,Fundamentus!A:U,4,FALSE)&lt;1.5,"Moderado",IF(VLOOKUP(BK200,Fundamentus!A:U,4,FALSE)&gt;1.5,"Alto","n/a")))</f>
        <v>Alto</v>
      </c>
      <c r="ES200" s="20" t="str">
        <f>IF(VLOOKUP(BK200,Fundamentus!A:U,8,FALSE)&lt;0,"Risco elevado",IF(VLOOKUP(BK200,Fundamentus!A:U,8,FALSE)&lt;1,"Saudável",IF(VLOOKUP(BK200,Fundamentus!A:U,8,FALSE)&lt;3,"Estável",IF(VLOOKUP(BK200,Fundamentus!A:U,8,FALSE)&gt;3,"Alerta","n/a"))))</f>
        <v>Alerta</v>
      </c>
      <c r="ET200" s="36" t="str">
        <f t="shared" si="202"/>
        <v>Bom</v>
      </c>
      <c r="EU200" s="20" t="str">
        <f>IF(VLOOKUP(BK200,Fundamentus!A:U,12,FALSE)&lt;2,"Subvalorizada",IF(VLOOKUP(BK200,Fundamentus!A:U,12,FALSE)&lt;6,"Muita barata",IF(VLOOKUP(BK200,Fundamentus!A:U,12,FALSE)&lt;6,"Barata",IF(VLOOKUP(BK200,Fundamentus!A:U,12,FALSE)&lt;8,"Atrativa",IF(VLOOKUP(BK200,Fundamentus!A:U,12,FALSE)&gt;8,"Supervalorizada","n/a")))))</f>
        <v>Supervalorizada</v>
      </c>
      <c r="EW200" s="20" t="str">
        <f>IF(VLOOKUP(BK200,Fundamentus!A:U,17,FALSE)&lt;0.1,"Fraco retorno",IF(VLOOKUP(BK200,Fundamentus!A:U,17,FALSE)&gt;0.1,"Bom retorno","n/a"))</f>
        <v>Fraco retorno</v>
      </c>
      <c r="EX200" s="20" t="str">
        <f>IF(VLOOKUP(BK200,Fundamentus!A:U,16,FALSE)&lt;0.1,"Ineficiente",IF(VLOOKUP(BK200,Fundamentus!A:U,16,FALSE)&gt;0.1,"Eficiente","n/a"))</f>
        <v>Ineficiente</v>
      </c>
      <c r="EY200" s="41" t="str">
        <f>IF(VLOOKUP(BK200,Fundamentus!A:U,16,FALSE)&lt;0.1,"Oper. Ineficiente",IF(VLOOKUP(BK200,Fundamentus!A:U,16,FALSE)&gt;0.1,"Oper.Eficiente","n/a"))</f>
        <v>Oper. Ineficiente</v>
      </c>
      <c r="EZ200" s="42">
        <f>VLOOKUP(BK200,Fundamentus!A:U,14,FALSE)</f>
        <v>-1.9699999999999999E-2</v>
      </c>
      <c r="FA200" s="20" t="str">
        <f>IF(VLOOKUP(BK200,Fundamentus!A:U,21,FALSE)&lt;0,"Negativo",IF(VLOOKUP(BK200,Fundamentus!A:U,21,FALSE)&lt;0.05,"Fraco",IF(VLOOKUP(BK200,Fundamentus!A:U,21,FALSE)&lt;0.1,"Bom",IF(VLOOKUP(BK200,Fundamentus!A:U,21,FALSE)&gt;0.1,"Muito bom","n/a"))))</f>
        <v>Muito bom</v>
      </c>
      <c r="FC200" s="37" t="str">
        <f>IF(VLOOKUP(BK200,Fundamentus!A:U,15,FALSE)&gt;1,"Bom",IF(VLOOKUP(BK200,Fundamentus!A:U,15,FALSE)&lt;1,"Ruim","n/a"))</f>
        <v>Bom</v>
      </c>
      <c r="FD200" s="20" t="str">
        <f>IF(VLOOKUP(BK200,Fundamentus!A:U,20,FALSE)&lt;0.5,"Baixa",IF(VLOOKUP(BK200,Fundamentus!A:U,20,FALSE)&lt;1,"Moderada",IF(VLOOKUP(BK200,Fundamentus!A:U,20,FALSE)&lt;2,"Alerta",IF(VLOOKUP(BK200,Fundamentus!A:U,20,FALSE)&gt;2,"Alta","n/a"))))</f>
        <v>Alta</v>
      </c>
      <c r="FE200" s="10"/>
    </row>
    <row r="201" spans="1:161" s="2" customFormat="1" ht="11.25" hidden="1"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8">
        <v>20.190000000000001</v>
      </c>
      <c r="BC201" s="62">
        <v>20.21</v>
      </c>
      <c r="BD201" s="62">
        <v>26.36</v>
      </c>
      <c r="BE201" s="62">
        <v>26</v>
      </c>
      <c r="BF201" s="62">
        <v>26.41</v>
      </c>
      <c r="BG201" s="81">
        <v>26.56</v>
      </c>
      <c r="BH201" s="62">
        <v>26.5</v>
      </c>
      <c r="BI201" s="62">
        <v>26</v>
      </c>
      <c r="BJ201" s="62" cm="1">
        <f t="array" aca="1" ref="BJ201" ca="1">_FV(EH201,"Preço")</f>
        <v>26.18</v>
      </c>
      <c r="BK201" s="83" t="s">
        <v>197</v>
      </c>
      <c r="BL201" s="44" cm="1">
        <f t="array" aca="1" ref="BL201" ca="1">_FV(EH201,"Média de volume",TRUE)</f>
        <v>6490</v>
      </c>
      <c r="BM201" s="44">
        <v>5400</v>
      </c>
      <c r="BN201" s="44" cm="1">
        <f t="array" aca="1" ref="BN201" ca="1">_FV(EH201,"Volume")</f>
        <v>2700</v>
      </c>
      <c r="BO201" s="32" cm="1">
        <f t="array" aca="1" ref="BO201" ca="1">_FV(EH201,"Beta")</f>
        <v>1.0748</v>
      </c>
      <c r="BP201" s="86" cm="1">
        <f t="array" aca="1" ref="BP201" ca="1">_FV(EH201,"Variação (%)",TRUE)</f>
        <v>6.9230000000000003E-3</v>
      </c>
      <c r="BQ201" s="48"/>
      <c r="BR201" s="48"/>
      <c r="BT201" s="20" cm="1">
        <f t="array" aca="1" ref="BT201" ca="1">_FV(EH201,"Baixo")</f>
        <v>26.1</v>
      </c>
      <c r="BU201" s="20" cm="1">
        <f t="array" aca="1" ref="BU201" ca="1">_FV(EH201,"Alto")</f>
        <v>27.18</v>
      </c>
      <c r="BV201" s="32"/>
      <c r="BW201" s="73" t="e">
        <f ca="1">SQRT(22.5*(BJ201/VLOOKUP(BK201,Fundamentus!A:U,3,FALSE))*(BJ201/VLOOKUP(BK201,Fundamentus!A:U,4,FALSE)))</f>
        <v>#NUM!</v>
      </c>
      <c r="BY201" s="72">
        <f t="shared" ca="1" si="198"/>
        <v>6.923076923076912E-3</v>
      </c>
      <c r="BZ201" s="8"/>
      <c r="CA201" s="71">
        <f t="shared" si="143"/>
        <v>0.79</v>
      </c>
      <c r="CB201" s="71">
        <f t="shared" si="199"/>
        <v>31.5</v>
      </c>
      <c r="CC201" s="71">
        <f t="shared" si="144"/>
        <v>15.087377049180327</v>
      </c>
      <c r="CD201" s="17"/>
      <c r="CE201" s="43">
        <f t="shared" si="203"/>
        <v>25.607421435625515</v>
      </c>
      <c r="CF201" s="18">
        <f>FORECAST("04/07/2025", BF201:BI201, $BF$5:$BI$5)</f>
        <v>26.044999999999959</v>
      </c>
      <c r="CG201" s="43">
        <f t="shared" si="204"/>
        <v>26.482578564374403</v>
      </c>
      <c r="CI201" s="17"/>
      <c r="CJ201" s="20">
        <f>CA201-2*(CB201-CM201)</f>
        <v>-23.35</v>
      </c>
      <c r="CK201" s="20">
        <f>CM201-(CB201-CA201)</f>
        <v>-11.280000000000001</v>
      </c>
      <c r="CL201" s="20">
        <f>2*CM201-CB201</f>
        <v>7.3599999999999994</v>
      </c>
      <c r="CM201" s="48">
        <f>(CB201+CA201+BI201)/3</f>
        <v>19.43</v>
      </c>
      <c r="CN201" s="20">
        <f>2*CM201-CA201</f>
        <v>38.07</v>
      </c>
      <c r="CO201" s="20">
        <f>CM201+(CB201-CA201)</f>
        <v>50.14</v>
      </c>
      <c r="CP201" s="20">
        <f>CB201+2*(CM201-CA201)</f>
        <v>68.78</v>
      </c>
      <c r="CQ201" s="2" cm="1">
        <f t="array" aca="1" ref="CQ201" ca="1">MAX(_xlfn._xlws.FILTER(CJ201:CP201,CJ201:CP201&lt;BJ201))</f>
        <v>19.43</v>
      </c>
      <c r="CR201" s="2" cm="1">
        <f t="array" aca="1" ref="CR201" ca="1">MIN(_xlfn._xlws.FILTER($CJ201:$CP201,$CJ201:$CP201&gt;BJ201))</f>
        <v>38.07</v>
      </c>
      <c r="CS201" s="19">
        <f t="shared" ca="1" si="179"/>
        <v>0.95934122490993312</v>
      </c>
      <c r="CT201" s="23">
        <f t="shared" ca="1" si="180"/>
        <v>-0.47967061245496656</v>
      </c>
      <c r="CU201" s="23">
        <f t="shared" ca="1" si="181"/>
        <v>-0.31978040830331106</v>
      </c>
      <c r="CV201" s="23">
        <f t="shared" ca="1" si="182"/>
        <v>-0.19186824498198662</v>
      </c>
      <c r="CW201" s="23">
        <f t="shared" ca="1" si="183"/>
        <v>-0.10659346943443701</v>
      </c>
      <c r="CX201" s="23">
        <f t="shared" ca="1" si="184"/>
        <v>-5.6431836759407827E-2</v>
      </c>
      <c r="CY201" s="23">
        <f t="shared" ca="1" si="185"/>
        <v>-2.9070946209391914E-2</v>
      </c>
      <c r="CZ201" s="23">
        <f t="shared" ca="1" si="186"/>
        <v>-1.4759095767845124E-2</v>
      </c>
      <c r="DA201" s="24">
        <f t="shared" ca="1" si="187"/>
        <v>1.4759095767845124E-2</v>
      </c>
      <c r="DB201" s="24">
        <f t="shared" ca="1" si="188"/>
        <v>2.9070946209391914E-2</v>
      </c>
      <c r="DC201" s="24">
        <f t="shared" ca="1" si="189"/>
        <v>5.6431836759407827E-2</v>
      </c>
      <c r="DD201" s="24">
        <f t="shared" ca="1" si="190"/>
        <v>0.10659346943443701</v>
      </c>
      <c r="DE201" s="24">
        <f t="shared" ca="1" si="191"/>
        <v>0.19186824498198662</v>
      </c>
      <c r="DF201" s="24">
        <f t="shared" ca="1" si="192"/>
        <v>0.31978040830331106</v>
      </c>
      <c r="DG201" s="24">
        <f t="shared" ca="1" si="193"/>
        <v>0.47967061245496656</v>
      </c>
      <c r="DI201" s="19" cm="1">
        <f t="array" aca="1" ref="DI201" ca="1">MAX(_xlfn._xlws.FILTER(CT201:DG201,CT201:DG201&lt;BP201))</f>
        <v>-1.4759095767845124E-2</v>
      </c>
      <c r="DJ201" s="19" cm="1">
        <f t="array" aca="1" ref="DJ201" ca="1">MIN(_xlfn._xlws.FILTER(CT201:DG201,CT201:DG201&gt;BP201))</f>
        <v>1.4759095767845124E-2</v>
      </c>
      <c r="DK201" s="2" cm="1">
        <f t="array" aca="1" ref="DK201" ca="1">_FV(EH201,"Fechamento anterior",TRUE)</f>
        <v>26</v>
      </c>
      <c r="DL201" s="36">
        <f ca="1">(BJ201-DM201)/(DN201-DM201)</f>
        <v>0.73453594420600876</v>
      </c>
      <c r="DM201" s="18">
        <f t="shared" ca="1" si="194"/>
        <v>25.616263510036028</v>
      </c>
      <c r="DN201" s="18">
        <f t="shared" ca="1" si="195"/>
        <v>26.383736489963972</v>
      </c>
      <c r="DO201" s="9"/>
      <c r="DP201" s="9"/>
      <c r="DQ201" s="94">
        <v>2.9248227289576576E-2</v>
      </c>
      <c r="DR201" s="94">
        <v>2.9248227289576576E-2</v>
      </c>
      <c r="DS201" s="94">
        <v>2.9530096072152148E-2</v>
      </c>
      <c r="DT201" s="94">
        <f t="shared" ca="1" si="200"/>
        <v>2.9518191535690248E-2</v>
      </c>
      <c r="DU201" s="87">
        <f ca="1">(BJ201-CF201)/(CF201-CE201)</f>
        <v>0.30851602658607052</v>
      </c>
      <c r="DV201" s="46"/>
      <c r="DW201" s="43">
        <f>_xlfn.STDEV.P(BF201:BI201)</f>
        <v>0.21878928218722205</v>
      </c>
      <c r="DX201" s="76">
        <f ca="1">BO201-$DT$2</f>
        <v>7.769999999999988E-2</v>
      </c>
      <c r="DY201" s="76">
        <f ca="1">BO201-BP201*100</f>
        <v>0.38249999999999995</v>
      </c>
      <c r="DZ201" s="101"/>
      <c r="EA201" s="100">
        <v>0.1512</v>
      </c>
      <c r="EB201" s="107">
        <v>-0.89990000000000014</v>
      </c>
      <c r="EC201" s="107">
        <v>1.7037</v>
      </c>
      <c r="ED201" s="98">
        <f t="shared" ca="1" si="196"/>
        <v>-0.30480000000000007</v>
      </c>
      <c r="EE201" s="66"/>
      <c r="EF201" s="66"/>
      <c r="EH201" s="2" t="e" vm="203">
        <v>#VALUE!</v>
      </c>
      <c r="EJ201" s="10" cm="1">
        <f t="array" aca="1" ref="EJ201" ca="1">_FV(EH201,"Ações em circulação",TRUE)</f>
        <v>9140940</v>
      </c>
      <c r="EK201" s="21">
        <f>VLOOKUP(BK201,Fundamentus!A:U,5,FALSE)</f>
        <v>0.88100000000000001</v>
      </c>
      <c r="EL201" s="2">
        <f ca="1">(BJ201*EJ201)/EK201</f>
        <v>271634289.67082858</v>
      </c>
      <c r="EM201" s="20">
        <v>-30510610.855845634</v>
      </c>
      <c r="EN201" s="20">
        <f t="shared" ca="1" si="201"/>
        <v>-30721838.161770713</v>
      </c>
      <c r="EP201" s="19">
        <f t="shared" ca="1" si="197"/>
        <v>6.9230769230768097E-3</v>
      </c>
      <c r="EQ201" s="40" t="str">
        <f>IF(VLOOKUP(BK201,Fundamentus!A:U,3,FALSE)&lt;15,"Bom",IF(VLOOKUP(BK201,Fundamentus!A:U,3,FALSE)&gt;15,"Ruim","n/a"))</f>
        <v>Bom</v>
      </c>
      <c r="ER201" s="36" t="str">
        <f>IF(VLOOKUP(BK201,Fundamentus!A:U,4,FALSE)&lt;1,"Baixo",IF(VLOOKUP(BK201,Fundamentus!A:U,4,FALSE)&lt;1.5,"Moderado",IF(VLOOKUP(BK201,Fundamentus!A:U,4,FALSE)&gt;1.5,"Alto","n/a")))</f>
        <v>Baixo</v>
      </c>
      <c r="ES201" s="20" t="str">
        <f>IF(VLOOKUP(BK201,Fundamentus!A:U,8,FALSE)&lt;0,"Risco elevado",IF(VLOOKUP(BK201,Fundamentus!A:U,8,FALSE)&lt;1,"Saudável",IF(VLOOKUP(BK201,Fundamentus!A:U,8,FALSE)&lt;3,"Estável",IF(VLOOKUP(BK201,Fundamentus!A:U,8,FALSE)&gt;3,"Alerta","n/a"))))</f>
        <v>Estável</v>
      </c>
      <c r="ET201" s="36" t="str">
        <f t="shared" si="202"/>
        <v>Ruim</v>
      </c>
      <c r="EU201" s="20" t="str">
        <f>IF(VLOOKUP(BK201,Fundamentus!A:U,12,FALSE)&lt;2,"Subvalorizada",IF(VLOOKUP(BK201,Fundamentus!A:U,12,FALSE)&lt;6,"Muita barata",IF(VLOOKUP(BK201,Fundamentus!A:U,12,FALSE)&lt;6,"Barata",IF(VLOOKUP(BK201,Fundamentus!A:U,12,FALSE)&lt;8,"Atrativa",IF(VLOOKUP(BK201,Fundamentus!A:U,12,FALSE)&gt;8,"Supervalorizada","n/a")))))</f>
        <v>Muita barata</v>
      </c>
      <c r="EW201" s="20" t="str">
        <f>IF(VLOOKUP(BK201,Fundamentus!A:U,17,FALSE)&lt;0.1,"Fraco retorno",IF(VLOOKUP(BK201,Fundamentus!A:U,17,FALSE)&gt;0.1,"Bom retorno","n/a"))</f>
        <v>Fraco retorno</v>
      </c>
      <c r="EX201" s="20" t="str">
        <f>IF(VLOOKUP(BK201,Fundamentus!A:U,16,FALSE)&lt;0.1,"Ineficiente",IF(VLOOKUP(BK201,Fundamentus!A:U,16,FALSE)&gt;0.1,"Eficiente","n/a"))</f>
        <v>Ineficiente</v>
      </c>
      <c r="EY201" s="41" t="str">
        <f>IF(VLOOKUP(BK201,Fundamentus!A:U,16,FALSE)&lt;0.1,"Oper. Ineficiente",IF(VLOOKUP(BK201,Fundamentus!A:U,16,FALSE)&gt;0.1,"Oper.Eficiente","n/a"))</f>
        <v>Oper. Ineficiente</v>
      </c>
      <c r="EZ201" s="42">
        <f>VLOOKUP(BK201,Fundamentus!A:U,14,FALSE)</f>
        <v>-0.11310000000000001</v>
      </c>
      <c r="FA201" s="20" t="str">
        <f>IF(VLOOKUP(BK201,Fundamentus!A:U,21,FALSE)&lt;0,"Negativo",IF(VLOOKUP(BK201,Fundamentus!A:U,21,FALSE)&lt;0.05,"Fraco",IF(VLOOKUP(BK201,Fundamentus!A:U,21,FALSE)&lt;0.1,"Bom",IF(VLOOKUP(BK201,Fundamentus!A:U,21,FALSE)&gt;0.1,"Muito bom","n/a"))))</f>
        <v>Bom</v>
      </c>
      <c r="FC201" s="37" t="str">
        <f>IF(VLOOKUP(BK201,Fundamentus!A:U,15,FALSE)&gt;1,"Bom",IF(VLOOKUP(BK201,Fundamentus!A:U,15,FALSE)&lt;1,"Ruim","n/a"))</f>
        <v>Bom</v>
      </c>
      <c r="FD201" s="20" t="str">
        <f>IF(VLOOKUP(BK201,Fundamentus!A:U,20,FALSE)&lt;0.5,"Baixa",IF(VLOOKUP(BK201,Fundamentus!A:U,20,FALSE)&lt;1,"Moderada",IF(VLOOKUP(BK201,Fundamentus!A:U,20,FALSE)&lt;2,"Alerta",IF(VLOOKUP(BK201,Fundamentus!A:U,20,FALSE)&gt;2,"Alta","n/a"))))</f>
        <v>Baixa</v>
      </c>
      <c r="FE201" s="10"/>
    </row>
    <row r="202" spans="1:161" s="2" customFormat="1" ht="11.25" hidden="1"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8">
        <v>4.4400000000000004</v>
      </c>
      <c r="BC202" s="62">
        <v>5.0199999999999996</v>
      </c>
      <c r="BD202" s="62">
        <v>4.82</v>
      </c>
      <c r="BE202" s="62">
        <v>4.75</v>
      </c>
      <c r="BF202" s="62">
        <v>4.76</v>
      </c>
      <c r="BG202" s="81">
        <v>5.0599999999999996</v>
      </c>
      <c r="BH202" s="62">
        <v>5.0599999999999996</v>
      </c>
      <c r="BI202" s="62">
        <v>5.04</v>
      </c>
      <c r="BJ202" s="62" cm="1">
        <f t="array" aca="1" ref="BJ202" ca="1">_FV(EH202,"Preço")</f>
        <v>5.07</v>
      </c>
      <c r="BK202" s="83" t="s">
        <v>251</v>
      </c>
      <c r="BL202" s="44" cm="1">
        <f t="array" aca="1" ref="BL202" ca="1">_FV(EH202,"Média de volume",TRUE)</f>
        <v>1351530</v>
      </c>
      <c r="BM202" s="44">
        <v>689800</v>
      </c>
      <c r="BN202" s="44" cm="1">
        <f t="array" aca="1" ref="BN202" ca="1">_FV(EH202,"Volume")</f>
        <v>446700</v>
      </c>
      <c r="BO202" s="32" cm="1">
        <f t="array" aca="1" ref="BO202" ca="1">_FV(EH202,"Beta")</f>
        <v>0.38490000000000002</v>
      </c>
      <c r="BP202" s="86" cm="1">
        <f t="array" aca="1" ref="BP202" ca="1">_FV(EH202,"Variação (%)",TRUE)</f>
        <v>5.9519999999999998E-3</v>
      </c>
      <c r="BQ202" s="48"/>
      <c r="BR202" s="48"/>
      <c r="BT202" s="20" cm="1">
        <f t="array" aca="1" ref="BT202" ca="1">_FV(EH202,"Baixo")</f>
        <v>5</v>
      </c>
      <c r="BU202" s="20" cm="1">
        <f t="array" aca="1" ref="BU202" ca="1">_FV(EH202,"Alto")</f>
        <v>5.12</v>
      </c>
      <c r="BV202" s="32"/>
      <c r="BW202" s="73">
        <f ca="1">SQRT(22.5*(BJ202/VLOOKUP(BK202,Fundamentus!A:U,3,FALSE))*(BJ202/VLOOKUP(BK202,Fundamentus!A:U,4,FALSE)))</f>
        <v>11.788785100774767</v>
      </c>
      <c r="BY202" s="72">
        <f t="shared" ca="1" si="198"/>
        <v>5.9523809523810015E-3</v>
      </c>
      <c r="BZ202" s="8"/>
      <c r="CA202" s="71">
        <f t="shared" si="143"/>
        <v>3.55</v>
      </c>
      <c r="CB202" s="71">
        <f t="shared" si="199"/>
        <v>10</v>
      </c>
      <c r="CC202" s="71">
        <f t="shared" si="144"/>
        <v>6.8130327868852483</v>
      </c>
      <c r="CD202" s="17"/>
      <c r="CE202" s="43">
        <f t="shared" si="203"/>
        <v>4.9354415587728973</v>
      </c>
      <c r="CF202" s="18">
        <f>FORECAST("04/07/2025", BF202:BI202, $BF$5:$BI$5)</f>
        <v>5.1900000000000546</v>
      </c>
      <c r="CG202" s="43">
        <f t="shared" si="204"/>
        <v>5.4445584412272119</v>
      </c>
      <c r="CI202" s="17"/>
      <c r="CJ202" s="20">
        <f>CA202-2*(CB202-CM202)</f>
        <v>-4.0566666666666675</v>
      </c>
      <c r="CK202" s="20">
        <f>CM202-(CB202-CA202)</f>
        <v>-0.25333333333333385</v>
      </c>
      <c r="CL202" s="20">
        <f>2*CM202-CB202</f>
        <v>2.3933333333333326</v>
      </c>
      <c r="CM202" s="48">
        <f>(CB202+CA202+BI202)/3</f>
        <v>6.1966666666666663</v>
      </c>
      <c r="CN202" s="20">
        <f>2*CM202-CA202</f>
        <v>8.8433333333333337</v>
      </c>
      <c r="CO202" s="20">
        <f>CM202+(CB202-CA202)</f>
        <v>12.646666666666667</v>
      </c>
      <c r="CP202" s="20">
        <f>CB202+2*(CM202-CA202)</f>
        <v>15.293333333333333</v>
      </c>
      <c r="CQ202" s="2" cm="1">
        <f t="array" aca="1" ref="CQ202" ca="1">MAX(_xlfn._xlws.FILTER(CJ202:CP202,CJ202:CP202&lt;BJ202))</f>
        <v>2.3933333333333326</v>
      </c>
      <c r="CR202" s="2" cm="1">
        <f t="array" aca="1" ref="CR202" ca="1">MIN(_xlfn._xlws.FILTER($CJ202:$CP202,$CJ202:$CP202&gt;BJ202))</f>
        <v>6.1966666666666663</v>
      </c>
      <c r="CS202" s="19">
        <f t="shared" ca="1" si="179"/>
        <v>1.5891364902506968</v>
      </c>
      <c r="CT202" s="23">
        <f t="shared" ca="1" si="180"/>
        <v>-0.7945682451253484</v>
      </c>
      <c r="CU202" s="23">
        <f t="shared" ca="1" si="181"/>
        <v>-0.52971216341689897</v>
      </c>
      <c r="CV202" s="23">
        <f t="shared" ca="1" si="182"/>
        <v>-0.31782729805013937</v>
      </c>
      <c r="CW202" s="23">
        <f t="shared" ca="1" si="183"/>
        <v>-0.17657072113896632</v>
      </c>
      <c r="CX202" s="23">
        <f t="shared" ca="1" si="184"/>
        <v>-9.34786170735704E-2</v>
      </c>
      <c r="CY202" s="23">
        <f t="shared" ca="1" si="185"/>
        <v>-4.8155651219718085E-2</v>
      </c>
      <c r="CZ202" s="23">
        <f t="shared" ca="1" si="186"/>
        <v>-2.4448253696164567E-2</v>
      </c>
      <c r="DA202" s="24">
        <f t="shared" ca="1" si="187"/>
        <v>2.4448253696164567E-2</v>
      </c>
      <c r="DB202" s="24">
        <f t="shared" ca="1" si="188"/>
        <v>4.8155651219718085E-2</v>
      </c>
      <c r="DC202" s="24">
        <f t="shared" ca="1" si="189"/>
        <v>9.34786170735704E-2</v>
      </c>
      <c r="DD202" s="24">
        <f t="shared" ca="1" si="190"/>
        <v>0.17657072113896632</v>
      </c>
      <c r="DE202" s="24">
        <f t="shared" ca="1" si="191"/>
        <v>0.31782729805013937</v>
      </c>
      <c r="DF202" s="24">
        <f t="shared" ca="1" si="192"/>
        <v>0.52971216341689897</v>
      </c>
      <c r="DG202" s="24">
        <f t="shared" ca="1" si="193"/>
        <v>0.7945682451253484</v>
      </c>
      <c r="DI202" s="19" cm="1">
        <f t="array" aca="1" ref="DI202" ca="1">MAX(_xlfn._xlws.FILTER(CT202:DG202,CT202:DG202&lt;BP202))</f>
        <v>-2.4448253696164567E-2</v>
      </c>
      <c r="DJ202" s="19" cm="1">
        <f t="array" aca="1" ref="DJ202" ca="1">MIN(_xlfn._xlws.FILTER(CT202:DG202,CT202:DG202&gt;BP202))</f>
        <v>2.4448253696164567E-2</v>
      </c>
      <c r="DK202" s="2" cm="1">
        <f t="array" aca="1" ref="DK202" ca="1">_FV(EH202,"Fechamento anterior",TRUE)</f>
        <v>5.04</v>
      </c>
      <c r="DL202" s="36">
        <f ca="1">(BJ202-DM202)/(DN202-DM202)</f>
        <v>0.62173427653269964</v>
      </c>
      <c r="DM202" s="18">
        <f t="shared" ca="1" si="194"/>
        <v>4.9167808013713303</v>
      </c>
      <c r="DN202" s="18">
        <f t="shared" ca="1" si="195"/>
        <v>5.1632191986286697</v>
      </c>
      <c r="DO202" s="9"/>
      <c r="DP202" s="9"/>
      <c r="DQ202" s="94">
        <v>0.1185372005044137</v>
      </c>
      <c r="DR202" s="94">
        <v>0.1185372005044137</v>
      </c>
      <c r="DS202" s="94">
        <v>4.8540379288301731E-2</v>
      </c>
      <c r="DT202" s="94">
        <f t="shared" ca="1" si="200"/>
        <v>4.8896507392329133E-2</v>
      </c>
      <c r="DU202" s="87">
        <f ca="1">(BJ202-CF202)/(CF202-CE202)</f>
        <v>-0.47140452079124456</v>
      </c>
      <c r="DV202" s="46"/>
      <c r="DW202" s="43">
        <f>_xlfn.STDEV.P(BF202:BI202)</f>
        <v>0.12727922061357852</v>
      </c>
      <c r="DX202" s="76">
        <f ca="1">BO202-$DT$2</f>
        <v>-0.61220000000000008</v>
      </c>
      <c r="DY202" s="76">
        <f ca="1">BO202-BP202*100</f>
        <v>-0.21029999999999993</v>
      </c>
      <c r="DZ202" s="101"/>
      <c r="EA202" s="100">
        <v>0.4899</v>
      </c>
      <c r="EB202" s="107">
        <v>-2.1932</v>
      </c>
      <c r="EC202" s="107">
        <v>0.18090000000000006</v>
      </c>
      <c r="ED202" s="98">
        <f t="shared" ca="1" si="196"/>
        <v>-0.40190000000000015</v>
      </c>
      <c r="EE202" s="66"/>
      <c r="EF202" s="66"/>
      <c r="EH202" s="2" t="e" vm="204">
        <v>#VALUE!</v>
      </c>
      <c r="EJ202" s="10" cm="1">
        <f t="array" aca="1" ref="EJ202" ca="1">_FV(EH202,"Ações em circulação",TRUE)</f>
        <v>350000000</v>
      </c>
      <c r="EK202" s="21">
        <f>VLOOKUP(BK202,Fundamentus!A:U,5,FALSE)</f>
        <v>0.14399999999999999</v>
      </c>
      <c r="EL202" s="2">
        <f ca="1">(BJ202*EJ202)/EK202</f>
        <v>12322916666.666668</v>
      </c>
      <c r="EM202" s="20">
        <v>216825000</v>
      </c>
      <c r="EN202" s="20">
        <f t="shared" ca="1" si="201"/>
        <v>218115625.00000003</v>
      </c>
      <c r="EP202" s="19">
        <f t="shared" ca="1" si="197"/>
        <v>5.9523809523811533E-3</v>
      </c>
      <c r="EQ202" s="40" t="str">
        <f>IF(VLOOKUP(BK202,Fundamentus!A:U,3,FALSE)&lt;15,"Bom",IF(VLOOKUP(BK202,Fundamentus!A:U,3,FALSE)&gt;15,"Ruim","n/a"))</f>
        <v>Bom</v>
      </c>
      <c r="ER202" s="36" t="str">
        <f>IF(VLOOKUP(BK202,Fundamentus!A:U,4,FALSE)&lt;1,"Baixo",IF(VLOOKUP(BK202,Fundamentus!A:U,4,FALSE)&lt;1.5,"Moderado",IF(VLOOKUP(BK202,Fundamentus!A:U,4,FALSE)&gt;1.5,"Alto","n/a")))</f>
        <v>Baixo</v>
      </c>
      <c r="ES202" s="20" t="str">
        <f>IF(VLOOKUP(BK202,Fundamentus!A:U,8,FALSE)&lt;0,"Risco elevado",IF(VLOOKUP(BK202,Fundamentus!A:U,8,FALSE)&lt;1,"Saudável",IF(VLOOKUP(BK202,Fundamentus!A:U,8,FALSE)&lt;3,"Estável",IF(VLOOKUP(BK202,Fundamentus!A:U,8,FALSE)&gt;3,"Alerta","n/a"))))</f>
        <v>Saudável</v>
      </c>
      <c r="ET202" s="36" t="str">
        <f t="shared" si="202"/>
        <v>Ruim</v>
      </c>
      <c r="EU202" s="20" t="str">
        <f>IF(VLOOKUP(BK202,Fundamentus!A:U,12,FALSE)&lt;2,"Subvalorizada",IF(VLOOKUP(BK202,Fundamentus!A:U,12,FALSE)&lt;6,"Muita barata",IF(VLOOKUP(BK202,Fundamentus!A:U,12,FALSE)&lt;6,"Barata",IF(VLOOKUP(BK202,Fundamentus!A:U,12,FALSE)&lt;8,"Atrativa",IF(VLOOKUP(BK202,Fundamentus!A:U,12,FALSE)&gt;8,"Supervalorizada","n/a")))))</f>
        <v>Muita barata</v>
      </c>
      <c r="EW202" s="20" t="str">
        <f>IF(VLOOKUP(BK202,Fundamentus!A:U,17,FALSE)&lt;0.1,"Fraco retorno",IF(VLOOKUP(BK202,Fundamentus!A:U,17,FALSE)&gt;0.1,"Bom retorno","n/a"))</f>
        <v>Fraco retorno</v>
      </c>
      <c r="EX202" s="20" t="str">
        <f>IF(VLOOKUP(BK202,Fundamentus!A:U,16,FALSE)&lt;0.1,"Ineficiente",IF(VLOOKUP(BK202,Fundamentus!A:U,16,FALSE)&gt;0.1,"Eficiente","n/a"))</f>
        <v>Ineficiente</v>
      </c>
      <c r="EY202" s="41" t="str">
        <f>IF(VLOOKUP(BK202,Fundamentus!A:U,16,FALSE)&lt;0.1,"Oper. Ineficiente",IF(VLOOKUP(BK202,Fundamentus!A:U,16,FALSE)&gt;0.1,"Oper.Eficiente","n/a"))</f>
        <v>Oper. Ineficiente</v>
      </c>
      <c r="EZ202" s="42">
        <f>VLOOKUP(BK202,Fundamentus!A:U,14,FALSE)</f>
        <v>1.77E-2</v>
      </c>
      <c r="FA202" s="20" t="str">
        <f>IF(VLOOKUP(BK202,Fundamentus!A:U,21,FALSE)&lt;0,"Negativo",IF(VLOOKUP(BK202,Fundamentus!A:U,21,FALSE)&lt;0.05,"Fraco",IF(VLOOKUP(BK202,Fundamentus!A:U,21,FALSE)&lt;0.1,"Bom",IF(VLOOKUP(BK202,Fundamentus!A:U,21,FALSE)&gt;0.1,"Muito bom","n/a"))))</f>
        <v>Muito bom</v>
      </c>
      <c r="FC202" s="37" t="str">
        <f>IF(VLOOKUP(BK202,Fundamentus!A:U,15,FALSE)&gt;1,"Bom",IF(VLOOKUP(BK202,Fundamentus!A:U,15,FALSE)&lt;1,"Ruim","n/a"))</f>
        <v>Bom</v>
      </c>
      <c r="FD202" s="20" t="str">
        <f>IF(VLOOKUP(BK202,Fundamentus!A:U,20,FALSE)&lt;0.5,"Baixa",IF(VLOOKUP(BK202,Fundamentus!A:U,20,FALSE)&lt;1,"Moderada",IF(VLOOKUP(BK202,Fundamentus!A:U,20,FALSE)&lt;2,"Alerta",IF(VLOOKUP(BK202,Fundamentus!A:U,20,FALSE)&gt;2,"Alta","n/a"))))</f>
        <v>Alerta</v>
      </c>
      <c r="FE202" s="10"/>
    </row>
    <row r="203" spans="1:161" s="2" customFormat="1" ht="11.25" hidden="1"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8">
        <v>8</v>
      </c>
      <c r="BC203" s="62">
        <v>8.1300000000000008</v>
      </c>
      <c r="BD203" s="62">
        <v>8.0299999999999994</v>
      </c>
      <c r="BE203" s="62">
        <v>7.95</v>
      </c>
      <c r="BF203" s="62">
        <v>7.66</v>
      </c>
      <c r="BG203" s="81">
        <v>7.75</v>
      </c>
      <c r="BH203" s="62">
        <v>7.63</v>
      </c>
      <c r="BI203" s="62">
        <v>7.15</v>
      </c>
      <c r="BJ203" s="62" cm="1">
        <f t="array" aca="1" ref="BJ203" ca="1">_FV(EH203,"Preço")</f>
        <v>7.14</v>
      </c>
      <c r="BK203" s="83" t="s">
        <v>199</v>
      </c>
      <c r="BL203" s="44" cm="1">
        <f t="array" aca="1" ref="BL203" ca="1">_FV(EH203,"Média de volume",TRUE)</f>
        <v>233660</v>
      </c>
      <c r="BM203" s="44">
        <v>2900</v>
      </c>
      <c r="BN203" s="44" cm="1">
        <f t="array" aca="1" ref="BN203" ca="1">_FV(EH203,"Volume")</f>
        <v>7000</v>
      </c>
      <c r="BO203" s="32" cm="1">
        <f t="array" aca="1" ref="BO203" ca="1">_FV(EH203,"Beta")</f>
        <v>1.0967</v>
      </c>
      <c r="BP203" s="86" cm="1">
        <f t="array" aca="1" ref="BP203" ca="1">_FV(EH203,"Variação (%)",TRUE)</f>
        <v>-1.3990000000000001E-3</v>
      </c>
      <c r="BQ203" s="48"/>
      <c r="BR203" s="48"/>
      <c r="BT203" s="20" cm="1">
        <f t="array" aca="1" ref="BT203" ca="1">_FV(EH203,"Baixo")</f>
        <v>7.02</v>
      </c>
      <c r="BU203" s="20" cm="1">
        <f t="array" aca="1" ref="BU203" ca="1">_FV(EH203,"Alto")</f>
        <v>7.18</v>
      </c>
      <c r="BV203" s="32"/>
      <c r="BW203" s="73">
        <f ca="1">SQRT(22.5*(BJ203/VLOOKUP(BK203,Fundamentus!A:U,3,FALSE))*(BJ203/VLOOKUP(BK203,Fundamentus!A:U,4,FALSE)))</f>
        <v>9.7656642313699606</v>
      </c>
      <c r="BY203" s="72">
        <f t="shared" ca="1" si="198"/>
        <v>-1.3986013986014929E-3</v>
      </c>
      <c r="BZ203" s="8"/>
      <c r="CA203" s="71">
        <f t="shared" si="143"/>
        <v>7.15</v>
      </c>
      <c r="CB203" s="71">
        <f t="shared" si="199"/>
        <v>12.71</v>
      </c>
      <c r="CC203" s="71">
        <f t="shared" si="144"/>
        <v>9.7468852459016393</v>
      </c>
      <c r="CD203" s="17"/>
      <c r="CE203" s="43">
        <f t="shared" si="203"/>
        <v>6.6675869064735043</v>
      </c>
      <c r="CF203" s="18">
        <f>FORECAST("04/07/2025", BF203:BI203, $BF$5:$BI$5)</f>
        <v>7.1349999999999909</v>
      </c>
      <c r="CG203" s="43">
        <f t="shared" si="204"/>
        <v>7.6024130935264775</v>
      </c>
      <c r="CI203" s="17"/>
      <c r="CJ203" s="20">
        <f>CA203-2*(CB203-CM203)</f>
        <v>-0.26333333333333719</v>
      </c>
      <c r="CK203" s="20">
        <f>CM203-(CB203-CA203)</f>
        <v>3.4433333333333316</v>
      </c>
      <c r="CL203" s="20">
        <f>2*CM203-CB203</f>
        <v>5.2966666666666633</v>
      </c>
      <c r="CM203" s="48">
        <f>(CB203+CA203+BI203)/3</f>
        <v>9.0033333333333321</v>
      </c>
      <c r="CN203" s="20">
        <f>2*CM203-CA203</f>
        <v>10.856666666666664</v>
      </c>
      <c r="CO203" s="20">
        <f>CM203+(CB203-CA203)</f>
        <v>14.563333333333333</v>
      </c>
      <c r="CP203" s="20">
        <f>CB203+2*(CM203-CA203)</f>
        <v>16.416666666666664</v>
      </c>
      <c r="CQ203" s="2" cm="1">
        <f t="array" aca="1" ref="CQ203" ca="1">MAX(_xlfn._xlws.FILTER(CJ203:CP203,CJ203:CP203&lt;BJ203))</f>
        <v>5.2966666666666633</v>
      </c>
      <c r="CR203" s="2" cm="1">
        <f t="array" aca="1" ref="CR203" ca="1">MIN(_xlfn._xlws.FILTER($CJ203:$CP203,$CJ203:$CP203&gt;BJ203))</f>
        <v>9.0033333333333321</v>
      </c>
      <c r="CS203" s="19">
        <f t="shared" ca="1" si="179"/>
        <v>0.69981120201384606</v>
      </c>
      <c r="CT203" s="23">
        <f t="shared" ca="1" si="180"/>
        <v>-0.34990560100692303</v>
      </c>
      <c r="CU203" s="23">
        <f t="shared" ca="1" si="181"/>
        <v>-0.23327040067128202</v>
      </c>
      <c r="CV203" s="23">
        <f t="shared" ca="1" si="182"/>
        <v>-0.13996224040276922</v>
      </c>
      <c r="CW203" s="23">
        <f t="shared" ca="1" si="183"/>
        <v>-7.7756800223760678E-2</v>
      </c>
      <c r="CX203" s="23">
        <f t="shared" ca="1" si="184"/>
        <v>-4.1165364824343888E-2</v>
      </c>
      <c r="CY203" s="23">
        <f t="shared" ca="1" si="185"/>
        <v>-2.120640006102564E-2</v>
      </c>
      <c r="CZ203" s="23">
        <f t="shared" ca="1" si="186"/>
        <v>-1.0766326184828401E-2</v>
      </c>
      <c r="DA203" s="24">
        <f t="shared" ca="1" si="187"/>
        <v>1.0766326184828401E-2</v>
      </c>
      <c r="DB203" s="24">
        <f t="shared" ca="1" si="188"/>
        <v>2.120640006102564E-2</v>
      </c>
      <c r="DC203" s="24">
        <f t="shared" ca="1" si="189"/>
        <v>4.1165364824343888E-2</v>
      </c>
      <c r="DD203" s="24">
        <f t="shared" ca="1" si="190"/>
        <v>7.7756800223760678E-2</v>
      </c>
      <c r="DE203" s="24">
        <f t="shared" ca="1" si="191"/>
        <v>0.13996224040276922</v>
      </c>
      <c r="DF203" s="24">
        <f t="shared" ca="1" si="192"/>
        <v>0.23327040067128202</v>
      </c>
      <c r="DG203" s="24">
        <f t="shared" ca="1" si="193"/>
        <v>0.34990560100692303</v>
      </c>
      <c r="DI203" s="19" cm="1">
        <f t="array" aca="1" ref="DI203" ca="1">MAX(_xlfn._xlws.FILTER(CT203:DG203,CT203:DG203&lt;BP203))</f>
        <v>-1.0766326184828401E-2</v>
      </c>
      <c r="DJ203" s="19" cm="1">
        <f t="array" aca="1" ref="DJ203" ca="1">MIN(_xlfn._xlws.FILTER(CT203:DG203,CT203:DG203&gt;BP203))</f>
        <v>1.0766326184828401E-2</v>
      </c>
      <c r="DK203" s="2" cm="1">
        <f t="array" aca="1" ref="DK203" ca="1">_FV(EH203,"Fechamento anterior",TRUE)</f>
        <v>7.15</v>
      </c>
      <c r="DL203" s="36">
        <f ca="1">(BJ203-DM203)/(DN203-DM203)</f>
        <v>0.43504741661216084</v>
      </c>
      <c r="DM203" s="18">
        <f t="shared" ca="1" si="194"/>
        <v>7.0730207677784769</v>
      </c>
      <c r="DN203" s="18">
        <f t="shared" ca="1" si="195"/>
        <v>7.2269792322215238</v>
      </c>
      <c r="DO203" s="9"/>
      <c r="DP203" s="9"/>
      <c r="DQ203" s="94">
        <v>1.5213946117274172E-2</v>
      </c>
      <c r="DR203" s="94">
        <v>8.3449096392259024E-3</v>
      </c>
      <c r="DS203" s="94">
        <v>1.7007178354500285E-2</v>
      </c>
      <c r="DT203" s="94">
        <f t="shared" ca="1" si="200"/>
        <v>2.1532652369656801E-2</v>
      </c>
      <c r="DU203" s="87">
        <f ca="1">(BJ203-CF203)/(CF203-CE203)</f>
        <v>1.0697175730113438E-2</v>
      </c>
      <c r="DV203" s="46"/>
      <c r="DW203" s="43">
        <f>_xlfn.STDEV.P(BF203:BI203)</f>
        <v>0.23370654676324309</v>
      </c>
      <c r="DX203" s="76">
        <f ca="1">BO203-$DT$2</f>
        <v>9.9599999999999911E-2</v>
      </c>
      <c r="DY203" s="76">
        <f ca="1">BO203-BP203*100</f>
        <v>1.2365999999999999</v>
      </c>
      <c r="DZ203" s="101"/>
      <c r="EA203" s="100">
        <v>-2.2752999999999997</v>
      </c>
      <c r="EB203" s="107">
        <v>2.0345</v>
      </c>
      <c r="EC203" s="107">
        <v>1.5993000000000002</v>
      </c>
      <c r="ED203" s="98">
        <f t="shared" ca="1" si="196"/>
        <v>-1.137</v>
      </c>
      <c r="EE203" s="66"/>
      <c r="EF203" s="66"/>
      <c r="EH203" s="2" t="e" vm="205">
        <v>#VALUE!</v>
      </c>
      <c r="EJ203" s="10" cm="1">
        <f t="array" aca="1" ref="EJ203" ca="1">_FV(EH203,"Ações em circulação",TRUE)</f>
        <v>139297900</v>
      </c>
      <c r="EK203" s="21">
        <f>VLOOKUP(BK203,Fundamentus!A:U,5,FALSE)</f>
        <v>0.68600000000000005</v>
      </c>
      <c r="EL203" s="2">
        <f ca="1">(BJ203*EJ203)/EK203</f>
        <v>1449835285.7142856</v>
      </c>
      <c r="EM203" s="20">
        <v>70415494.566326529</v>
      </c>
      <c r="EN203" s="20">
        <f t="shared" ca="1" si="201"/>
        <v>70317011.357142851</v>
      </c>
      <c r="EP203" s="19">
        <f t="shared" ca="1" si="197"/>
        <v>-1.3986013986014845E-3</v>
      </c>
      <c r="EQ203" s="40" t="str">
        <f>IF(VLOOKUP(BK203,Fundamentus!A:U,3,FALSE)&lt;15,"Bom",IF(VLOOKUP(BK203,Fundamentus!A:U,3,FALSE)&gt;15,"Ruim","n/a"))</f>
        <v>Bom</v>
      </c>
      <c r="ER203" s="36" t="str">
        <f>IF(VLOOKUP(BK203,Fundamentus!A:U,4,FALSE)&lt;1,"Baixo",IF(VLOOKUP(BK203,Fundamentus!A:U,4,FALSE)&lt;1.5,"Moderado",IF(VLOOKUP(BK203,Fundamentus!A:U,4,FALSE)&gt;1.5,"Alto","n/a")))</f>
        <v>Baixo</v>
      </c>
      <c r="ES203" s="20" t="str">
        <f>IF(VLOOKUP(BK203,Fundamentus!A:U,8,FALSE)&lt;0,"Risco elevado",IF(VLOOKUP(BK203,Fundamentus!A:U,8,FALSE)&lt;1,"Saudável",IF(VLOOKUP(BK203,Fundamentus!A:U,8,FALSE)&lt;3,"Estável",IF(VLOOKUP(BK203,Fundamentus!A:U,8,FALSE)&gt;3,"Alerta","n/a"))))</f>
        <v>Estável</v>
      </c>
      <c r="ET203" s="36" t="str">
        <f t="shared" si="202"/>
        <v>Ruim</v>
      </c>
      <c r="EU203" s="20" t="str">
        <f>IF(VLOOKUP(BK203,Fundamentus!A:U,12,FALSE)&lt;2,"Subvalorizada",IF(VLOOKUP(BK203,Fundamentus!A:U,12,FALSE)&lt;6,"Muita barata",IF(VLOOKUP(BK203,Fundamentus!A:U,12,FALSE)&lt;6,"Barata",IF(VLOOKUP(BK203,Fundamentus!A:U,12,FALSE)&lt;8,"Atrativa",IF(VLOOKUP(BK203,Fundamentus!A:U,12,FALSE)&gt;8,"Supervalorizada","n/a")))))</f>
        <v>Supervalorizada</v>
      </c>
      <c r="EW203" s="20" t="str">
        <f>IF(VLOOKUP(BK203,Fundamentus!A:U,17,FALSE)&lt;0.1,"Fraco retorno",IF(VLOOKUP(BK203,Fundamentus!A:U,17,FALSE)&gt;0.1,"Bom retorno","n/a"))</f>
        <v>Fraco retorno</v>
      </c>
      <c r="EX203" s="20" t="str">
        <f>IF(VLOOKUP(BK203,Fundamentus!A:U,16,FALSE)&lt;0.1,"Ineficiente",IF(VLOOKUP(BK203,Fundamentus!A:U,16,FALSE)&gt;0.1,"Eficiente","n/a"))</f>
        <v>Ineficiente</v>
      </c>
      <c r="EY203" s="41" t="str">
        <f>IF(VLOOKUP(BK203,Fundamentus!A:U,16,FALSE)&lt;0.1,"Oper. Ineficiente",IF(VLOOKUP(BK203,Fundamentus!A:U,16,FALSE)&gt;0.1,"Oper.Eficiente","n/a"))</f>
        <v>Oper. Ineficiente</v>
      </c>
      <c r="EZ203" s="42">
        <f>VLOOKUP(BK203,Fundamentus!A:U,14,FALSE)</f>
        <v>4.8500000000000001E-2</v>
      </c>
      <c r="FA203" s="20" t="str">
        <f>IF(VLOOKUP(BK203,Fundamentus!A:U,21,FALSE)&lt;0,"Negativo",IF(VLOOKUP(BK203,Fundamentus!A:U,21,FALSE)&lt;0.05,"Fraco",IF(VLOOKUP(BK203,Fundamentus!A:U,21,FALSE)&lt;0.1,"Bom",IF(VLOOKUP(BK203,Fundamentus!A:U,21,FALSE)&gt;0.1,"Muito bom","n/a"))))</f>
        <v>Negativo</v>
      </c>
      <c r="FC203" s="37" t="str">
        <f>IF(VLOOKUP(BK203,Fundamentus!A:U,15,FALSE)&gt;1,"Bom",IF(VLOOKUP(BK203,Fundamentus!A:U,15,FALSE)&lt;1,"Ruim","n/a"))</f>
        <v>Bom</v>
      </c>
      <c r="FD203" s="20" t="str">
        <f>IF(VLOOKUP(BK203,Fundamentus!A:U,20,FALSE)&lt;0.5,"Baixa",IF(VLOOKUP(BK203,Fundamentus!A:U,20,FALSE)&lt;1,"Moderada",IF(VLOOKUP(BK203,Fundamentus!A:U,20,FALSE)&lt;2,"Alerta",IF(VLOOKUP(BK203,Fundamentus!A:U,20,FALSE)&gt;2,"Alta","n/a"))))</f>
        <v>Moderada</v>
      </c>
      <c r="FE203" s="10"/>
    </row>
    <row r="204" spans="1:161" s="5" customFormat="1" ht="11.25" hidden="1"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8">
        <v>11.43</v>
      </c>
      <c r="BC204" s="62">
        <v>10.98</v>
      </c>
      <c r="BD204" s="62">
        <v>11.04</v>
      </c>
      <c r="BE204" s="62">
        <v>12.29</v>
      </c>
      <c r="BF204" s="62">
        <v>11.47</v>
      </c>
      <c r="BG204" s="81">
        <v>11.8</v>
      </c>
      <c r="BH204" s="62">
        <v>11.6</v>
      </c>
      <c r="BI204" s="62">
        <v>11.79</v>
      </c>
      <c r="BJ204" s="62" cm="1">
        <f t="array" aca="1" ref="BJ204" ca="1">_FV(EH204,"Preço")</f>
        <v>11.99</v>
      </c>
      <c r="BK204" s="83" t="s">
        <v>200</v>
      </c>
      <c r="BL204" s="44" cm="1">
        <f t="array" aca="1" ref="BL204" ca="1">_FV(EH204,"Média de volume",TRUE)</f>
        <v>1947600</v>
      </c>
      <c r="BM204" s="44">
        <v>1109000</v>
      </c>
      <c r="BN204" s="44" cm="1">
        <f t="array" aca="1" ref="BN204" ca="1">_FV(EH204,"Volume")</f>
        <v>486100</v>
      </c>
      <c r="BO204" s="32" cm="1">
        <f t="array" aca="1" ref="BO204" ca="1">_FV(EH204,"Beta")</f>
        <v>2.0832999999999999</v>
      </c>
      <c r="BP204" s="86" cm="1">
        <f t="array" aca="1" ref="BP204" ca="1">_FV(EH204,"Variação (%)",TRUE)</f>
        <v>1.6964E-2</v>
      </c>
      <c r="BQ204" s="48"/>
      <c r="BR204" s="48"/>
      <c r="BT204" s="20" cm="1">
        <f t="array" aca="1" ref="BT204" ca="1">_FV(EH204,"Baixo")</f>
        <v>11.72</v>
      </c>
      <c r="BU204" s="20" cm="1">
        <f t="array" aca="1" ref="BU204" ca="1">_FV(EH204,"Alto")</f>
        <v>12.28</v>
      </c>
      <c r="BV204" s="32"/>
      <c r="BW204" s="73">
        <f ca="1">SQRT(22.5*(BJ204/VLOOKUP(BK204,Fundamentus!A:U,3,FALSE))*(BJ204/VLOOKUP(BK204,Fundamentus!A:U,4,FALSE)))</f>
        <v>25.335761008002443</v>
      </c>
      <c r="BY204" s="72">
        <f t="shared" ca="1" si="198"/>
        <v>1.6963528413910186E-2</v>
      </c>
      <c r="BZ204" s="8"/>
      <c r="CA204" s="71">
        <f t="shared" si="143"/>
        <v>9.84</v>
      </c>
      <c r="CB204" s="71">
        <f t="shared" si="199"/>
        <v>18.170000000000002</v>
      </c>
      <c r="CC204" s="71">
        <f t="shared" si="144"/>
        <v>12.678032786885248</v>
      </c>
      <c r="CD204" s="17"/>
      <c r="CE204" s="43">
        <f t="shared" si="203"/>
        <v>11.579137715517344</v>
      </c>
      <c r="CF204" s="18">
        <f>FORECAST("04/07/2025", BF204:BI204, $BF$5:$BI$5)</f>
        <v>11.855000000000018</v>
      </c>
      <c r="CG204" s="43">
        <f t="shared" si="204"/>
        <v>12.130862284482692</v>
      </c>
      <c r="CI204" s="17"/>
      <c r="CJ204" s="20">
        <f>CA204-2*(CB204-CM204)</f>
        <v>3.3333333333327886E-2</v>
      </c>
      <c r="CK204" s="20">
        <f>CM204-(CB204-CA204)</f>
        <v>4.9366666666666639</v>
      </c>
      <c r="CL204" s="20">
        <f>2*CM204-CB204</f>
        <v>8.3633333333333297</v>
      </c>
      <c r="CM204" s="48">
        <f>(CB204+CA204+BI204)/3</f>
        <v>13.266666666666666</v>
      </c>
      <c r="CN204" s="20">
        <f>2*CM204-CA204</f>
        <v>16.693333333333332</v>
      </c>
      <c r="CO204" s="20">
        <f>CM204+(CB204-CA204)</f>
        <v>21.596666666666668</v>
      </c>
      <c r="CP204" s="20">
        <f>CB204+2*(CM204-CA204)</f>
        <v>25.023333333333333</v>
      </c>
      <c r="CQ204" s="2" cm="1">
        <f t="array" aca="1" ref="CQ204" ca="1">MAX(_xlfn._xlws.FILTER(CJ204:CP204,CJ204:CP204&lt;BJ204))</f>
        <v>8.3633333333333297</v>
      </c>
      <c r="CR204" s="2" cm="1">
        <f t="array" aca="1" ref="CR204" ca="1">MIN(_xlfn._xlws.FILTER($CJ204:$CP204,$CJ204:$CP204&gt;BJ204))</f>
        <v>13.266666666666666</v>
      </c>
      <c r="CS204" s="19">
        <f t="shared" ca="1" si="179"/>
        <v>0.58628935831008433</v>
      </c>
      <c r="CT204" s="23">
        <f t="shared" ca="1" si="180"/>
        <v>-0.29314467915504216</v>
      </c>
      <c r="CU204" s="23">
        <f t="shared" ca="1" si="181"/>
        <v>-0.19542978610336145</v>
      </c>
      <c r="CV204" s="23">
        <f t="shared" ca="1" si="182"/>
        <v>-0.11725787166201687</v>
      </c>
      <c r="CW204" s="23">
        <f t="shared" ca="1" si="183"/>
        <v>-6.5143262034453808E-2</v>
      </c>
      <c r="CX204" s="23">
        <f t="shared" ca="1" si="184"/>
        <v>-3.4487609312357899E-2</v>
      </c>
      <c r="CY204" s="23">
        <f t="shared" ca="1" si="185"/>
        <v>-1.7766344191214676E-2</v>
      </c>
      <c r="CZ204" s="23">
        <f t="shared" ca="1" si="186"/>
        <v>-9.0198362816936058E-3</v>
      </c>
      <c r="DA204" s="24">
        <f t="shared" ca="1" si="187"/>
        <v>9.0198362816936058E-3</v>
      </c>
      <c r="DB204" s="24">
        <f t="shared" ca="1" si="188"/>
        <v>1.7766344191214676E-2</v>
      </c>
      <c r="DC204" s="24">
        <f t="shared" ca="1" si="189"/>
        <v>3.4487609312357899E-2</v>
      </c>
      <c r="DD204" s="24">
        <f t="shared" ca="1" si="190"/>
        <v>6.5143262034453808E-2</v>
      </c>
      <c r="DE204" s="24">
        <f t="shared" ca="1" si="191"/>
        <v>0.11725787166201687</v>
      </c>
      <c r="DF204" s="24">
        <f t="shared" ca="1" si="192"/>
        <v>0.19542978610336145</v>
      </c>
      <c r="DG204" s="24">
        <f t="shared" ca="1" si="193"/>
        <v>0.29314467915504216</v>
      </c>
      <c r="DI204" s="19" cm="1">
        <f t="array" aca="1" ref="DI204" ca="1">MAX(_xlfn._xlws.FILTER(CT204:DG204,CT204:DG204&lt;BP204))</f>
        <v>9.0198362816936058E-3</v>
      </c>
      <c r="DJ204" s="19" cm="1">
        <f t="array" aca="1" ref="DJ204" ca="1">MIN(_xlfn._xlws.FILTER(CT204:DG204,CT204:DG204&gt;BP204))</f>
        <v>1.7766344191214676E-2</v>
      </c>
      <c r="DK204" s="2" cm="1">
        <f t="array" aca="1" ref="DK204" ca="1">_FV(EH204,"Fechamento anterior",TRUE)</f>
        <v>11.79</v>
      </c>
      <c r="DL204" s="36">
        <f ca="1">(BJ204-DM204)/(DN204-DM204)</f>
        <v>0.90821299361879648</v>
      </c>
      <c r="DM204" s="18">
        <f t="shared" ca="1" si="194"/>
        <v>11.896343869761166</v>
      </c>
      <c r="DN204" s="18">
        <f t="shared" ca="1" si="195"/>
        <v>11.99946519801442</v>
      </c>
      <c r="DO204" s="9"/>
      <c r="DP204" s="9"/>
      <c r="DQ204" s="94">
        <v>1.5329632562441194E-2</v>
      </c>
      <c r="DR204" s="94">
        <v>1.5329632562441194E-2</v>
      </c>
      <c r="DS204" s="94">
        <v>1.8013050271114783E-2</v>
      </c>
      <c r="DT204" s="94">
        <f t="shared" ca="1" si="200"/>
        <v>8.7465079095210702E-3</v>
      </c>
      <c r="DU204" s="87">
        <f ca="1">(BJ204-CF204)/(CF204-CE204)</f>
        <v>0.48937461767616502</v>
      </c>
      <c r="DV204" s="46"/>
      <c r="DW204" s="43">
        <f>_xlfn.STDEV.P(BF204:BI204)</f>
        <v>0.13793114224133701</v>
      </c>
      <c r="DX204" s="76">
        <f ca="1">BO204-$DT$2</f>
        <v>1.0861999999999998</v>
      </c>
      <c r="DY204" s="76">
        <f ca="1">BO204-BP204*100</f>
        <v>0.38690000000000002</v>
      </c>
      <c r="DZ204" s="101"/>
      <c r="EA204" s="100">
        <v>-1.2347999999999999</v>
      </c>
      <c r="EB204" s="107">
        <v>-3.6760999999999999</v>
      </c>
      <c r="EC204" s="107">
        <v>-1.0754000000000001</v>
      </c>
      <c r="ED204" s="98">
        <f t="shared" ca="1" si="196"/>
        <v>0.69929999999999981</v>
      </c>
      <c r="EE204" s="66"/>
      <c r="EF204" s="66"/>
      <c r="EH204" s="5" t="e" vm="206">
        <v>#VALUE!</v>
      </c>
      <c r="EJ204" s="10" cm="1">
        <f t="array" aca="1" ref="EJ204" ca="1">_FV(EH204,"Ações em circulação",TRUE)</f>
        <v>244013000</v>
      </c>
      <c r="EK204" s="21">
        <f>VLOOKUP(BK204,Fundamentus!A:U,5,FALSE)</f>
        <v>0.39900000000000002</v>
      </c>
      <c r="EL204" s="2">
        <f ca="1">(BJ204*EJ204)/EK204</f>
        <v>7332621228.0701752</v>
      </c>
      <c r="EM204" s="20">
        <v>565288221.47368419</v>
      </c>
      <c r="EN204" s="20">
        <f t="shared" ca="1" si="201"/>
        <v>574877504.28070176</v>
      </c>
      <c r="EO204" s="2"/>
      <c r="EP204" s="19">
        <f t="shared" ca="1" si="197"/>
        <v>1.6963528413910023E-2</v>
      </c>
      <c r="EQ204" s="40" t="str">
        <f>IF(VLOOKUP(BK204,Fundamentus!A:U,3,FALSE)&lt;15,"Bom",IF(VLOOKUP(BK204,Fundamentus!A:U,3,FALSE)&gt;15,"Ruim","n/a"))</f>
        <v>Bom</v>
      </c>
      <c r="ER204" s="36" t="str">
        <f>IF(VLOOKUP(BK204,Fundamentus!A:U,4,FALSE)&lt;1,"Baixo",IF(VLOOKUP(BK204,Fundamentus!A:U,4,FALSE)&lt;1.5,"Moderado",IF(VLOOKUP(BK204,Fundamentus!A:U,4,FALSE)&gt;1.5,"Alto","n/a")))</f>
        <v>Baixo</v>
      </c>
      <c r="ES204" s="20" t="str">
        <f>IF(VLOOKUP(BK204,Fundamentus!A:U,8,FALSE)&lt;0,"Risco elevado",IF(VLOOKUP(BK204,Fundamentus!A:U,8,FALSE)&lt;1,"Saudável",IF(VLOOKUP(BK204,Fundamentus!A:U,8,FALSE)&lt;3,"Estável",IF(VLOOKUP(BK204,Fundamentus!A:U,8,FALSE)&gt;3,"Alerta","n/a"))))</f>
        <v>Estável</v>
      </c>
      <c r="ET204" s="36" t="str">
        <f t="shared" si="202"/>
        <v>Ruim</v>
      </c>
      <c r="EU204" s="20" t="str">
        <f>IF(VLOOKUP(BK204,Fundamentus!A:U,12,FALSE)&lt;2,"Subvalorizada",IF(VLOOKUP(BK204,Fundamentus!A:U,12,FALSE)&lt;6,"Muita barata",IF(VLOOKUP(BK204,Fundamentus!A:U,12,FALSE)&lt;6,"Barata",IF(VLOOKUP(BK204,Fundamentus!A:U,12,FALSE)&lt;8,"Atrativa",IF(VLOOKUP(BK204,Fundamentus!A:U,12,FALSE)&gt;8,"Supervalorizada","n/a")))))</f>
        <v>Muita barata</v>
      </c>
      <c r="EV204" s="2"/>
      <c r="EW204" s="20" t="str">
        <f>IF(VLOOKUP(BK204,Fundamentus!A:U,17,FALSE)&lt;0.1,"Fraco retorno",IF(VLOOKUP(BK204,Fundamentus!A:U,17,FALSE)&gt;0.1,"Bom retorno","n/a"))</f>
        <v>Bom retorno</v>
      </c>
      <c r="EX204" s="20" t="str">
        <f>IF(VLOOKUP(BK204,Fundamentus!A:U,16,FALSE)&lt;0.1,"Ineficiente",IF(VLOOKUP(BK204,Fundamentus!A:U,16,FALSE)&gt;0.1,"Eficiente","n/a"))</f>
        <v>Ineficiente</v>
      </c>
      <c r="EY204" s="41" t="str">
        <f>IF(VLOOKUP(BK204,Fundamentus!A:U,16,FALSE)&lt;0.1,"Oper. Ineficiente",IF(VLOOKUP(BK204,Fundamentus!A:U,16,FALSE)&gt;0.1,"Oper.Eficiente","n/a"))</f>
        <v>Oper. Ineficiente</v>
      </c>
      <c r="EZ204" s="42">
        <f>VLOOKUP(BK204,Fundamentus!A:U,14,FALSE)</f>
        <v>7.8399999999999997E-2</v>
      </c>
      <c r="FA204" s="20" t="str">
        <f>IF(VLOOKUP(BK204,Fundamentus!A:U,21,FALSE)&lt;0,"Negativo",IF(VLOOKUP(BK204,Fundamentus!A:U,21,FALSE)&lt;0.05,"Fraco",IF(VLOOKUP(BK204,Fundamentus!A:U,21,FALSE)&lt;0.1,"Bom",IF(VLOOKUP(BK204,Fundamentus!A:U,21,FALSE)&gt;0.1,"Muito bom","n/a"))))</f>
        <v>Muito bom</v>
      </c>
      <c r="FC204" s="37" t="str">
        <f>IF(VLOOKUP(BK204,Fundamentus!A:U,15,FALSE)&gt;1,"Bom",IF(VLOOKUP(BK204,Fundamentus!A:U,15,FALSE)&lt;1,"Ruim","n/a"))</f>
        <v>Bom</v>
      </c>
      <c r="FD204" s="20" t="str">
        <f>IF(VLOOKUP(BK204,Fundamentus!A:U,20,FALSE)&lt;0.5,"Baixa",IF(VLOOKUP(BK204,Fundamentus!A:U,20,FALSE)&lt;1,"Moderada",IF(VLOOKUP(BK204,Fundamentus!A:U,20,FALSE)&lt;2,"Alerta",IF(VLOOKUP(BK204,Fundamentus!A:U,20,FALSE)&gt;2,"Alta","n/a"))))</f>
        <v>Moderada</v>
      </c>
      <c r="FE204" s="10"/>
    </row>
    <row r="205" spans="1:161" s="2" customFormat="1" ht="11.25" hidden="1"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8">
        <v>5.76</v>
      </c>
      <c r="BC205" s="62">
        <v>5.99</v>
      </c>
      <c r="BD205" s="62">
        <v>6.21</v>
      </c>
      <c r="BE205" s="62">
        <v>6.39</v>
      </c>
      <c r="BF205" s="62">
        <v>6.55</v>
      </c>
      <c r="BG205" s="81">
        <v>6.87</v>
      </c>
      <c r="BH205" s="62">
        <v>6.8</v>
      </c>
      <c r="BI205" s="62">
        <v>7.13</v>
      </c>
      <c r="BJ205" s="62" cm="1">
        <f t="array" aca="1" ref="BJ205" ca="1">_FV(EH205,"Preço")</f>
        <v>7.15</v>
      </c>
      <c r="BK205" s="85" t="s">
        <v>201</v>
      </c>
      <c r="BL205" s="44" cm="1">
        <f t="array" aca="1" ref="BL205" ca="1">_FV(EH205,"Média de volume",TRUE)</f>
        <v>43450</v>
      </c>
      <c r="BM205" s="44">
        <v>41000</v>
      </c>
      <c r="BN205" s="44" cm="1">
        <f t="array" aca="1" ref="BN205" ca="1">_FV(EH205,"Volume")</f>
        <v>40500</v>
      </c>
      <c r="BO205" s="32" cm="1">
        <f t="array" aca="1" ref="BO205" ca="1">_FV(EH205,"Beta")</f>
        <v>0.71350000000000002</v>
      </c>
      <c r="BP205" s="86" cm="1">
        <f t="array" aca="1" ref="BP205" ca="1">_FV(EH205,"Variação (%)",TRUE)</f>
        <v>2.8050000000000002E-3</v>
      </c>
      <c r="BQ205" s="71"/>
      <c r="BR205" s="71"/>
      <c r="BT205" s="20" cm="1">
        <f t="array" aca="1" ref="BT205" ca="1">_FV(EH205,"Baixo")</f>
        <v>7.08</v>
      </c>
      <c r="BU205" s="20" cm="1">
        <f t="array" aca="1" ref="BU205" ca="1">_FV(EH205,"Alto")</f>
        <v>7.19</v>
      </c>
      <c r="BV205" s="32"/>
      <c r="BW205" s="73">
        <f ca="1">SQRT(22.5*(BJ205/VLOOKUP(BK205,Fundamentus!A:U,3,FALSE))*(BJ205/VLOOKUP(BK205,Fundamentus!A:U,4,FALSE)))</f>
        <v>12.848227852712759</v>
      </c>
      <c r="BY205" s="72">
        <f t="shared" ca="1" si="198"/>
        <v>2.8050490883591113E-3</v>
      </c>
      <c r="BZ205" s="8"/>
      <c r="CA205" s="71">
        <f t="shared" si="143"/>
        <v>3.95</v>
      </c>
      <c r="CB205" s="71">
        <f t="shared" si="199"/>
        <v>7.13</v>
      </c>
      <c r="CC205" s="71">
        <f t="shared" si="144"/>
        <v>5.4824590163934417</v>
      </c>
      <c r="CD205" s="17"/>
      <c r="CE205" s="43">
        <f t="shared" si="203"/>
        <v>6.8418716906336368</v>
      </c>
      <c r="CF205" s="18">
        <f>FORECAST("04/07/2025", BF205:BI205, $BF$5:$BI$5)</f>
        <v>7.2550000000001091</v>
      </c>
      <c r="CG205" s="43">
        <f t="shared" si="204"/>
        <v>7.6681283093665815</v>
      </c>
      <c r="CI205" s="17"/>
      <c r="CJ205" s="20">
        <f>CA205-2*(CB205-CM205)</f>
        <v>1.830000000000001</v>
      </c>
      <c r="CK205" s="20">
        <f>CM205-(CB205-CA205)</f>
        <v>2.8900000000000006</v>
      </c>
      <c r="CL205" s="20">
        <f>2*CM205-CB205</f>
        <v>5.0100000000000007</v>
      </c>
      <c r="CM205" s="48">
        <f>(CB205+CA205+BI205)/3</f>
        <v>6.07</v>
      </c>
      <c r="CN205" s="20">
        <f>2*CM205-CA205</f>
        <v>8.1900000000000013</v>
      </c>
      <c r="CO205" s="20">
        <f>CM205+(CB205-CA205)</f>
        <v>9.25</v>
      </c>
      <c r="CP205" s="20">
        <f>CB205+2*(CM205-CA205)</f>
        <v>11.370000000000001</v>
      </c>
      <c r="CQ205" s="2" cm="1">
        <f t="array" aca="1" ref="CQ205" ca="1">MAX(_xlfn._xlws.FILTER(CJ205:CP205,CJ205:CP205&lt;BJ205))</f>
        <v>6.07</v>
      </c>
      <c r="CR205" s="2" cm="1">
        <f t="array" aca="1" ref="CR205" ca="1">MIN(_xlfn._xlws.FILTER($CJ205:$CP205,$CJ205:$CP205&gt;BJ205))</f>
        <v>8.1900000000000013</v>
      </c>
      <c r="CS205" s="19">
        <f t="shared" ca="1" si="179"/>
        <v>0.34925864909390469</v>
      </c>
      <c r="CT205" s="23">
        <f t="shared" ca="1" si="180"/>
        <v>-0.17462932454695235</v>
      </c>
      <c r="CU205" s="23">
        <f t="shared" ca="1" si="181"/>
        <v>-0.11641954969796824</v>
      </c>
      <c r="CV205" s="23">
        <f t="shared" ca="1" si="182"/>
        <v>-6.9851729818780933E-2</v>
      </c>
      <c r="CW205" s="23">
        <f t="shared" ca="1" si="183"/>
        <v>-3.8806516565989407E-2</v>
      </c>
      <c r="CX205" s="23">
        <f t="shared" ca="1" si="184"/>
        <v>-2.0544626417288513E-2</v>
      </c>
      <c r="CY205" s="23">
        <f t="shared" ca="1" si="185"/>
        <v>-1.0583595427088021E-2</v>
      </c>
      <c r="CZ205" s="23">
        <f t="shared" ca="1" si="186"/>
        <v>-5.3732099860600725E-3</v>
      </c>
      <c r="DA205" s="24">
        <f t="shared" ca="1" si="187"/>
        <v>5.3732099860600725E-3</v>
      </c>
      <c r="DB205" s="24">
        <f t="shared" ca="1" si="188"/>
        <v>1.0583595427088021E-2</v>
      </c>
      <c r="DC205" s="24">
        <f t="shared" ca="1" si="189"/>
        <v>2.0544626417288513E-2</v>
      </c>
      <c r="DD205" s="24">
        <f t="shared" ca="1" si="190"/>
        <v>3.8806516565989407E-2</v>
      </c>
      <c r="DE205" s="24">
        <f t="shared" ca="1" si="191"/>
        <v>6.9851729818780933E-2</v>
      </c>
      <c r="DF205" s="24">
        <f t="shared" ca="1" si="192"/>
        <v>0.11641954969796824</v>
      </c>
      <c r="DG205" s="24">
        <f t="shared" ca="1" si="193"/>
        <v>0.17462932454695235</v>
      </c>
      <c r="DI205" s="19" cm="1">
        <f t="array" aca="1" ref="DI205" ca="1">MAX(_xlfn._xlws.FILTER(CT205:DG205,CT205:DG205&lt;BP205))</f>
        <v>-5.3732099860600725E-3</v>
      </c>
      <c r="DJ205" s="19" cm="1">
        <f t="array" aca="1" ref="DJ205" ca="1">MIN(_xlfn._xlws.FILTER(CT205:DG205,CT205:DG205&gt;BP205))</f>
        <v>5.3732099860600725E-3</v>
      </c>
      <c r="DK205" s="2" cm="1">
        <f t="array" aca="1" ref="DK205" ca="1">_FV(EH205,"Fechamento anterior",TRUE)</f>
        <v>7.13</v>
      </c>
      <c r="DL205" s="36">
        <f ca="1">(BJ205-DM205)/(DN205-DM205)</f>
        <v>0.76102172589907613</v>
      </c>
      <c r="DM205" s="18">
        <f t="shared" ca="1" si="194"/>
        <v>7.0916890127993915</v>
      </c>
      <c r="DN205" s="18">
        <f t="shared" ca="1" si="195"/>
        <v>7.1683109872006083</v>
      </c>
      <c r="DO205" s="9"/>
      <c r="DP205" s="9"/>
      <c r="DQ205" s="94">
        <v>7.1180193021798937E-3</v>
      </c>
      <c r="DR205" s="94">
        <v>3.9224070352475021E-3</v>
      </c>
      <c r="DS205" s="94">
        <v>9.4154728544380423E-3</v>
      </c>
      <c r="DT205" s="94">
        <f t="shared" ca="1" si="200"/>
        <v>1.0746419972120145E-2</v>
      </c>
      <c r="DU205" s="87">
        <f ca="1">(BJ205-CF205)/(CF205-CE205)</f>
        <v>-0.25415832713358499</v>
      </c>
      <c r="DV205" s="46"/>
      <c r="DW205" s="43">
        <f>_xlfn.STDEV.P(BF205:BI205)</f>
        <v>0.20656415468323638</v>
      </c>
      <c r="DX205" s="76">
        <f ca="1">BO205-$DT$2</f>
        <v>-0.28360000000000007</v>
      </c>
      <c r="DY205" s="76">
        <f ca="1">BO205-BP205*100</f>
        <v>0.433</v>
      </c>
      <c r="DZ205" s="101"/>
      <c r="EA205" s="100">
        <v>-0.58630000000000004</v>
      </c>
      <c r="EB205" s="107">
        <v>2.4323999999999999</v>
      </c>
      <c r="EC205" s="107">
        <v>1.8927000000000003</v>
      </c>
      <c r="ED205" s="98">
        <f t="shared" ca="1" si="196"/>
        <v>-0.71660000000000013</v>
      </c>
      <c r="EE205" s="66"/>
      <c r="EF205" s="66"/>
      <c r="EH205" s="2" t="e" vm="207">
        <v>#VALUE!</v>
      </c>
      <c r="EJ205" s="10" cm="1">
        <f t="array" aca="1" ref="EJ205" ca="1">_FV(EH205,"Ações em circulação",TRUE)</f>
        <v>61856210</v>
      </c>
      <c r="EK205" s="21">
        <f>VLOOKUP(BK205,Fundamentus!A:U,5,FALSE)</f>
        <v>1.016</v>
      </c>
      <c r="EL205" s="2">
        <f ca="1">(BJ205*EJ205)/EK205</f>
        <v>435306989.66535431</v>
      </c>
      <c r="EM205" s="20">
        <v>65851354.051584646</v>
      </c>
      <c r="EN205" s="20">
        <f t="shared" ca="1" si="201"/>
        <v>66036070.332234249</v>
      </c>
      <c r="EP205" s="19">
        <f t="shared" ca="1" si="197"/>
        <v>2.8050490883588797E-3</v>
      </c>
      <c r="EQ205" s="40" t="str">
        <f>IF(VLOOKUP(BK205,Fundamentus!A:U,3,FALSE)&lt;15,"Bom",IF(VLOOKUP(BK205,Fundamentus!A:U,3,FALSE)&gt;15,"Ruim","n/a"))</f>
        <v>Bom</v>
      </c>
      <c r="ER205" s="36" t="str">
        <f>IF(VLOOKUP(BK205,Fundamentus!A:U,4,FALSE)&lt;1,"Baixo",IF(VLOOKUP(BK205,Fundamentus!A:U,4,FALSE)&lt;1.5,"Moderado",IF(VLOOKUP(BK205,Fundamentus!A:U,4,FALSE)&gt;1.5,"Alto","n/a")))</f>
        <v>Moderado</v>
      </c>
      <c r="ES205" s="20" t="str">
        <f>IF(VLOOKUP(BK205,Fundamentus!A:U,8,FALSE)&lt;0,"Risco elevado",IF(VLOOKUP(BK205,Fundamentus!A:U,8,FALSE)&lt;1,"Saudável",IF(VLOOKUP(BK205,Fundamentus!A:U,8,FALSE)&lt;3,"Estável",IF(VLOOKUP(BK205,Fundamentus!A:U,8,FALSE)&gt;3,"Alerta","n/a"))))</f>
        <v>Estável</v>
      </c>
      <c r="ET205" s="36" t="str">
        <f t="shared" si="202"/>
        <v>Bom</v>
      </c>
      <c r="EU205" s="20" t="str">
        <f>IF(VLOOKUP(BK205,Fundamentus!A:U,12,FALSE)&lt;2,"Subvalorizada",IF(VLOOKUP(BK205,Fundamentus!A:U,12,FALSE)&lt;6,"Muita barata",IF(VLOOKUP(BK205,Fundamentus!A:U,12,FALSE)&lt;6,"Barata",IF(VLOOKUP(BK205,Fundamentus!A:U,12,FALSE)&lt;8,"Atrativa",IF(VLOOKUP(BK205,Fundamentus!A:U,12,FALSE)&gt;8,"Supervalorizada","n/a")))))</f>
        <v>Atrativa</v>
      </c>
      <c r="EW205" s="20" t="str">
        <f>IF(VLOOKUP(BK205,Fundamentus!A:U,17,FALSE)&lt;0.1,"Fraco retorno",IF(VLOOKUP(BK205,Fundamentus!A:U,17,FALSE)&gt;0.1,"Bom retorno","n/a"))</f>
        <v>Bom retorno</v>
      </c>
      <c r="EX205" s="20" t="str">
        <f>IF(VLOOKUP(BK205,Fundamentus!A:U,16,FALSE)&lt;0.1,"Ineficiente",IF(VLOOKUP(BK205,Fundamentus!A:U,16,FALSE)&gt;0.1,"Eficiente","n/a"))</f>
        <v>Eficiente</v>
      </c>
      <c r="EY205" s="41" t="str">
        <f>IF(VLOOKUP(BK205,Fundamentus!A:U,16,FALSE)&lt;0.1,"Oper. Ineficiente",IF(VLOOKUP(BK205,Fundamentus!A:U,16,FALSE)&gt;0.1,"Oper.Eficiente","n/a"))</f>
        <v>Oper.Eficiente</v>
      </c>
      <c r="EZ205" s="42">
        <f>VLOOKUP(BK205,Fundamentus!A:U,14,FALSE)</f>
        <v>0.1517</v>
      </c>
      <c r="FA205" s="20" t="str">
        <f>IF(VLOOKUP(BK205,Fundamentus!A:U,21,FALSE)&lt;0,"Negativo",IF(VLOOKUP(BK205,Fundamentus!A:U,21,FALSE)&lt;0.05,"Fraco",IF(VLOOKUP(BK205,Fundamentus!A:U,21,FALSE)&lt;0.1,"Bom",IF(VLOOKUP(BK205,Fundamentus!A:U,21,FALSE)&gt;0.1,"Muito bom","n/a"))))</f>
        <v>Muito bom</v>
      </c>
      <c r="FC205" s="37" t="str">
        <f>IF(VLOOKUP(BK205,Fundamentus!A:U,15,FALSE)&gt;1,"Bom",IF(VLOOKUP(BK205,Fundamentus!A:U,15,FALSE)&lt;1,"Ruim","n/a"))</f>
        <v>Bom</v>
      </c>
      <c r="FD205" s="20" t="str">
        <f>IF(VLOOKUP(BK205,Fundamentus!A:U,20,FALSE)&lt;0.5,"Baixa",IF(VLOOKUP(BK205,Fundamentus!A:U,20,FALSE)&lt;1,"Moderada",IF(VLOOKUP(BK205,Fundamentus!A:U,20,FALSE)&lt;2,"Alerta",IF(VLOOKUP(BK205,Fundamentus!A:U,20,FALSE)&gt;2,"Alta","n/a"))))</f>
        <v>Baixa</v>
      </c>
      <c r="FE205" s="10"/>
    </row>
    <row r="206" spans="1:161" s="2" customFormat="1" ht="11.25" hidden="1"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8">
        <v>19.29</v>
      </c>
      <c r="BC206" s="62">
        <v>20.07</v>
      </c>
      <c r="BD206" s="62">
        <v>20.97</v>
      </c>
      <c r="BE206" s="62">
        <v>21.16</v>
      </c>
      <c r="BF206" s="62">
        <v>19.95</v>
      </c>
      <c r="BG206" s="81">
        <v>20.18</v>
      </c>
      <c r="BH206" s="62">
        <v>19.5</v>
      </c>
      <c r="BI206" s="62">
        <v>17.670000000000002</v>
      </c>
      <c r="BJ206" s="62" cm="1">
        <f t="array" aca="1" ref="BJ206" ca="1">_FV(EH206,"Preço")</f>
        <v>17.53</v>
      </c>
      <c r="BK206" s="83" t="s">
        <v>202</v>
      </c>
      <c r="BL206" s="44" cm="1">
        <f t="array" aca="1" ref="BL206" ca="1">_FV(EH206,"Média de volume",TRUE)</f>
        <v>2283850</v>
      </c>
      <c r="BM206" s="44">
        <v>1914600</v>
      </c>
      <c r="BN206" s="44" cm="1">
        <f t="array" aca="1" ref="BN206" ca="1">_FV(EH206,"Volume")</f>
        <v>850100</v>
      </c>
      <c r="BO206" s="32" cm="1">
        <f t="array" aca="1" ref="BO206" ca="1">_FV(EH206,"Beta")</f>
        <v>0.35299999999999998</v>
      </c>
      <c r="BP206" s="86" cm="1">
        <f t="array" aca="1" ref="BP206" ca="1">_FV(EH206,"Variação (%)",TRUE)</f>
        <v>-7.9229999999999995E-3</v>
      </c>
      <c r="BQ206" s="48"/>
      <c r="BR206" s="48"/>
      <c r="BT206" s="20" cm="1">
        <f t="array" aca="1" ref="BT206" ca="1">_FV(EH206,"Baixo")</f>
        <v>17.48</v>
      </c>
      <c r="BU206" s="20" cm="1">
        <f t="array" aca="1" ref="BU206" ca="1">_FV(EH206,"Alto")</f>
        <v>17.809999999999999</v>
      </c>
      <c r="BV206" s="32"/>
      <c r="BW206" s="73">
        <f ca="1">SQRT(22.5*(BJ206/VLOOKUP(BK206,Fundamentus!A:U,3,FALSE))*(BJ206/VLOOKUP(BK206,Fundamentus!A:U,4,FALSE)))</f>
        <v>32.851815147706034</v>
      </c>
      <c r="BY206" s="72">
        <f t="shared" ca="1" si="198"/>
        <v>-7.9230333899264604E-3</v>
      </c>
      <c r="BZ206" s="8"/>
      <c r="CA206" s="71">
        <f t="shared" ref="CA206:CA269" si="205">MIN(A206:BI206)</f>
        <v>17.670000000000002</v>
      </c>
      <c r="CB206" s="71">
        <f t="shared" si="199"/>
        <v>32.630000000000003</v>
      </c>
      <c r="CC206" s="71">
        <f t="shared" ref="CC206:CC269" si="206">AVERAGE(A206:BI206)</f>
        <v>24.934918032786896</v>
      </c>
      <c r="CD206" s="17"/>
      <c r="CE206" s="43">
        <f t="shared" si="203"/>
        <v>15.472362172115433</v>
      </c>
      <c r="CF206" s="18">
        <f>FORECAST("04/07/2025", BF206:BI206, $BF$5:$BI$5)</f>
        <v>17.444999999999709</v>
      </c>
      <c r="CG206" s="43">
        <f t="shared" si="204"/>
        <v>19.417637827883986</v>
      </c>
      <c r="CI206" s="17"/>
      <c r="CJ206" s="20">
        <f>CA206-2*(CB206-CM206)</f>
        <v>-2.2766666666666708</v>
      </c>
      <c r="CK206" s="20">
        <f>CM206-(CB206-CA206)</f>
        <v>7.6966666666666654</v>
      </c>
      <c r="CL206" s="20">
        <f>2*CM206-CB206</f>
        <v>12.68333333333333</v>
      </c>
      <c r="CM206" s="48">
        <f>(CB206+CA206+BI206)/3</f>
        <v>22.656666666666666</v>
      </c>
      <c r="CN206" s="20">
        <f>2*CM206-CA206</f>
        <v>27.643333333333331</v>
      </c>
      <c r="CO206" s="20">
        <f>CM206+(CB206-CA206)</f>
        <v>37.616666666666667</v>
      </c>
      <c r="CP206" s="20">
        <f>CB206+2*(CM206-CA206)</f>
        <v>42.603333333333332</v>
      </c>
      <c r="CQ206" s="2" cm="1">
        <f t="array" aca="1" ref="CQ206" ca="1">MAX(_xlfn._xlws.FILTER(CJ206:CP206,CJ206:CP206&lt;BJ206))</f>
        <v>12.68333333333333</v>
      </c>
      <c r="CR206" s="2" cm="1">
        <f t="array" aca="1" ref="CR206" ca="1">MIN(_xlfn._xlws.FILTER($CJ206:$CP206,$CJ206:$CP206&gt;BJ206))</f>
        <v>22.656666666666666</v>
      </c>
      <c r="CS206" s="19">
        <f t="shared" ref="CS206:CS255" ca="1" si="207">(CR206/CQ206)-1</f>
        <v>0.78633377135348259</v>
      </c>
      <c r="CT206" s="23">
        <f t="shared" ref="CT206:CT255" ca="1" si="208">-$CS206/2</f>
        <v>-0.3931668856767413</v>
      </c>
      <c r="CU206" s="23">
        <f t="shared" ref="CU206:CU255" ca="1" si="209">-$CS206/3</f>
        <v>-0.26211125711782751</v>
      </c>
      <c r="CV206" s="23">
        <f t="shared" ref="CV206:CV255" ca="1" si="210">-$CS206/5</f>
        <v>-0.15726675427069653</v>
      </c>
      <c r="CW206" s="23">
        <f t="shared" ref="CW206:CW255" ca="1" si="211">-$CS206/9</f>
        <v>-8.7370419039275837E-2</v>
      </c>
      <c r="CX206" s="23">
        <f t="shared" ref="CX206:CX255" ca="1" si="212">-$CS206/17</f>
        <v>-4.6254927726675443E-2</v>
      </c>
      <c r="CY206" s="23">
        <f t="shared" ref="CY206:CY255" ca="1" si="213">-$CS206/33</f>
        <v>-2.3828296101620683E-2</v>
      </c>
      <c r="CZ206" s="23">
        <f t="shared" ref="CZ206:CZ255" ca="1" si="214">-$CS206/65</f>
        <v>-1.2097442636207425E-2</v>
      </c>
      <c r="DA206" s="24">
        <f t="shared" ref="DA206:DA255" ca="1" si="215">-$CS206/65*-1</f>
        <v>1.2097442636207425E-2</v>
      </c>
      <c r="DB206" s="24">
        <f t="shared" ref="DB206:DB255" ca="1" si="216">-$CS206/33*-1</f>
        <v>2.3828296101620683E-2</v>
      </c>
      <c r="DC206" s="24">
        <f t="shared" ref="DC206:DC255" ca="1" si="217">-$CS206/17*-1</f>
        <v>4.6254927726675443E-2</v>
      </c>
      <c r="DD206" s="24">
        <f t="shared" ref="DD206:DD255" ca="1" si="218">-$CS206/9*-1</f>
        <v>8.7370419039275837E-2</v>
      </c>
      <c r="DE206" s="24">
        <f t="shared" ref="DE206:DE255" ca="1" si="219">-$CS206/5*-1</f>
        <v>0.15726675427069653</v>
      </c>
      <c r="DF206" s="24">
        <f t="shared" ref="DF206:DF255" ca="1" si="220">-$CS206/3*-1</f>
        <v>0.26211125711782751</v>
      </c>
      <c r="DG206" s="24">
        <f t="shared" ref="DG206:DG255" ca="1" si="221">-$CS206/2*-1</f>
        <v>0.3931668856767413</v>
      </c>
      <c r="DI206" s="19" cm="1">
        <f t="array" aca="1" ref="DI206" ca="1">MAX(_xlfn._xlws.FILTER(CT206:DG206,CT206:DG206&lt;BP206))</f>
        <v>-1.2097442636207425E-2</v>
      </c>
      <c r="DJ206" s="19" cm="1">
        <f t="array" aca="1" ref="DJ206" ca="1">MIN(_xlfn._xlws.FILTER(CT206:DG206,CT206:DG206&gt;BP206))</f>
        <v>1.2097442636207425E-2</v>
      </c>
      <c r="DK206" s="2" cm="1">
        <f t="array" aca="1" ref="DK206" ca="1">_FV(EH206,"Fechamento anterior",TRUE)</f>
        <v>17.670000000000002</v>
      </c>
      <c r="DL206" s="36">
        <f ca="1">(BJ206-DM206)/(DN206-DM206)</f>
        <v>0.17253271504619835</v>
      </c>
      <c r="DM206" s="18">
        <f t="shared" ref="DM206:DM255" ca="1" si="222">DK206+(DK206*DI206)</f>
        <v>17.456238188618215</v>
      </c>
      <c r="DN206" s="18">
        <f t="shared" ref="DN206:DN255" ca="1" si="223">DK206+(DK206*DJ206)</f>
        <v>17.883761811381788</v>
      </c>
      <c r="DO206" s="9"/>
      <c r="DP206" s="9"/>
      <c r="DQ206" s="94">
        <v>8.6921232244973317E-3</v>
      </c>
      <c r="DR206" s="94">
        <v>1.816581587748636E-2</v>
      </c>
      <c r="DS206" s="94">
        <v>1.7547814092751773E-2</v>
      </c>
      <c r="DT206" s="94">
        <f t="shared" ca="1" si="200"/>
        <v>2.419488527241485E-2</v>
      </c>
      <c r="DU206" s="87">
        <f ca="1">(BJ206-CF206)/(CF206-CE206)</f>
        <v>4.3089511312605064E-2</v>
      </c>
      <c r="DV206" s="46"/>
      <c r="DW206" s="43">
        <f>_xlfn.STDEV.P(BF206:BI206)</f>
        <v>0.98631891394213778</v>
      </c>
      <c r="DX206" s="76">
        <f ca="1">BO206-$DT$2</f>
        <v>-0.64410000000000012</v>
      </c>
      <c r="DY206" s="76">
        <f ca="1">BO206-BP206*100</f>
        <v>1.1453</v>
      </c>
      <c r="DZ206" s="101"/>
      <c r="EA206" s="100">
        <v>-1.8893</v>
      </c>
      <c r="EB206" s="107">
        <v>0.37760000000000016</v>
      </c>
      <c r="EC206" s="107">
        <v>1.1400000000000077E-2</v>
      </c>
      <c r="ED206" s="98">
        <f t="shared" ca="1" si="196"/>
        <v>-1.7894000000000001</v>
      </c>
      <c r="EE206" s="66"/>
      <c r="EF206" s="66"/>
      <c r="EH206" s="2" t="e" vm="208">
        <v>#VALUE!</v>
      </c>
      <c r="EJ206" s="10" cm="1">
        <f t="array" aca="1" ref="EJ206" ca="1">_FV(EH206,"Ações em circulação",TRUE)</f>
        <v>332435400</v>
      </c>
      <c r="EK206" s="21">
        <f>VLOOKUP(BK206,Fundamentus!A:U,5,FALSE)</f>
        <v>0.85499999999999998</v>
      </c>
      <c r="EL206" s="2">
        <f ca="1">(BJ206*EJ206)/EK206</f>
        <v>6815897733.333333</v>
      </c>
      <c r="EM206" s="20">
        <v>944670595.00000024</v>
      </c>
      <c r="EN206" s="20">
        <f t="shared" ca="1" si="201"/>
        <v>937185938.33333337</v>
      </c>
      <c r="EP206" s="19">
        <f t="shared" ca="1" si="197"/>
        <v>-7.9230333899266148E-3</v>
      </c>
      <c r="EQ206" s="40" t="str">
        <f>IF(VLOOKUP(BK206,Fundamentus!A:U,3,FALSE)&lt;15,"Bom",IF(VLOOKUP(BK206,Fundamentus!A:U,3,FALSE)&gt;15,"Ruim","n/a"))</f>
        <v>Bom</v>
      </c>
      <c r="ER206" s="36" t="str">
        <f>IF(VLOOKUP(BK206,Fundamentus!A:U,4,FALSE)&lt;1,"Baixo",IF(VLOOKUP(BK206,Fundamentus!A:U,4,FALSE)&lt;1.5,"Moderado",IF(VLOOKUP(BK206,Fundamentus!A:U,4,FALSE)&gt;1.5,"Alto","n/a")))</f>
        <v>Moderado</v>
      </c>
      <c r="ES206" s="20" t="str">
        <f>IF(VLOOKUP(BK206,Fundamentus!A:U,8,FALSE)&lt;0,"Risco elevado",IF(VLOOKUP(BK206,Fundamentus!A:U,8,FALSE)&lt;1,"Saudável",IF(VLOOKUP(BK206,Fundamentus!A:U,8,FALSE)&lt;3,"Estável",IF(VLOOKUP(BK206,Fundamentus!A:U,8,FALSE)&gt;3,"Alerta","n/a"))))</f>
        <v>Estável</v>
      </c>
      <c r="ET206" s="36" t="str">
        <f t="shared" si="202"/>
        <v>Ruim</v>
      </c>
      <c r="EU206" s="20" t="str">
        <f>IF(VLOOKUP(BK206,Fundamentus!A:U,12,FALSE)&lt;2,"Subvalorizada",IF(VLOOKUP(BK206,Fundamentus!A:U,12,FALSE)&lt;6,"Muita barata",IF(VLOOKUP(BK206,Fundamentus!A:U,12,FALSE)&lt;6,"Barata",IF(VLOOKUP(BK206,Fundamentus!A:U,12,FALSE)&lt;8,"Atrativa",IF(VLOOKUP(BK206,Fundamentus!A:U,12,FALSE)&gt;8,"Supervalorizada","n/a")))))</f>
        <v>Muita barata</v>
      </c>
      <c r="EW206" s="20" t="str">
        <f>IF(VLOOKUP(BK206,Fundamentus!A:U,17,FALSE)&lt;0.1,"Fraco retorno",IF(VLOOKUP(BK206,Fundamentus!A:U,17,FALSE)&gt;0.1,"Bom retorno","n/a"))</f>
        <v>Bom retorno</v>
      </c>
      <c r="EX206" s="20" t="str">
        <f>IF(VLOOKUP(BK206,Fundamentus!A:U,16,FALSE)&lt;0.1,"Ineficiente",IF(VLOOKUP(BK206,Fundamentus!A:U,16,FALSE)&gt;0.1,"Eficiente","n/a"))</f>
        <v>Ineficiente</v>
      </c>
      <c r="EY206" s="41" t="str">
        <f>IF(VLOOKUP(BK206,Fundamentus!A:U,16,FALSE)&lt;0.1,"Oper. Ineficiente",IF(VLOOKUP(BK206,Fundamentus!A:U,16,FALSE)&gt;0.1,"Oper.Eficiente","n/a"))</f>
        <v>Oper. Ineficiente</v>
      </c>
      <c r="EZ206" s="42">
        <f>VLOOKUP(BK206,Fundamentus!A:U,14,FALSE)</f>
        <v>0.13750000000000001</v>
      </c>
      <c r="FA206" s="20" t="str">
        <f>IF(VLOOKUP(BK206,Fundamentus!A:U,21,FALSE)&lt;0,"Negativo",IF(VLOOKUP(BK206,Fundamentus!A:U,21,FALSE)&lt;0.05,"Fraco",IF(VLOOKUP(BK206,Fundamentus!A:U,21,FALSE)&lt;0.1,"Bom",IF(VLOOKUP(BK206,Fundamentus!A:U,21,FALSE)&gt;0.1,"Muito bom","n/a"))))</f>
        <v>Muito bom</v>
      </c>
      <c r="FC206" s="37" t="str">
        <f>IF(VLOOKUP(BK206,Fundamentus!A:U,15,FALSE)&gt;1,"Bom",IF(VLOOKUP(BK206,Fundamentus!A:U,15,FALSE)&lt;1,"Ruim","n/a"))</f>
        <v>Bom</v>
      </c>
      <c r="FD206" s="20" t="str">
        <f>IF(VLOOKUP(BK206,Fundamentus!A:U,20,FALSE)&lt;0.5,"Baixa",IF(VLOOKUP(BK206,Fundamentus!A:U,20,FALSE)&lt;1,"Moderada",IF(VLOOKUP(BK206,Fundamentus!A:U,20,FALSE)&lt;2,"Alerta",IF(VLOOKUP(BK206,Fundamentus!A:U,20,FALSE)&gt;2,"Alta","n/a"))))</f>
        <v>Alerta</v>
      </c>
      <c r="FE206" s="10"/>
    </row>
    <row r="207" spans="1:161" s="2" customFormat="1" ht="11.25" hidden="1"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8">
        <v>8.0500000000000007</v>
      </c>
      <c r="BC207" s="62">
        <v>8.1</v>
      </c>
      <c r="BD207" s="62">
        <v>7.63</v>
      </c>
      <c r="BE207" s="62">
        <v>7.47</v>
      </c>
      <c r="BF207" s="62">
        <v>7.64</v>
      </c>
      <c r="BG207" s="81">
        <v>7.56</v>
      </c>
      <c r="BH207" s="62">
        <v>7.44</v>
      </c>
      <c r="BI207" s="62">
        <v>7.33</v>
      </c>
      <c r="BJ207" s="62" cm="1">
        <f t="array" aca="1" ref="BJ207" ca="1">_FV(EH207,"Preço")</f>
        <v>7.33</v>
      </c>
      <c r="BK207" s="83" t="s">
        <v>203</v>
      </c>
      <c r="BL207" s="44" cm="1">
        <f t="array" aca="1" ref="BL207" ca="1">_FV(EH207,"Média de volume",TRUE)</f>
        <v>670740</v>
      </c>
      <c r="BM207" s="44">
        <v>494700</v>
      </c>
      <c r="BN207" s="44" cm="1">
        <f t="array" aca="1" ref="BN207" ca="1">_FV(EH207,"Volume")</f>
        <v>287300</v>
      </c>
      <c r="BO207" s="32" cm="1">
        <f t="array" aca="1" ref="BO207" ca="1">_FV(EH207,"Beta")</f>
        <v>0.51519999999999999</v>
      </c>
      <c r="BP207" s="86" cm="1">
        <f t="array" aca="1" ref="BP207" ca="1">_FV(EH207,"Variação (%)",TRUE)</f>
        <v>0</v>
      </c>
      <c r="BQ207" s="48"/>
      <c r="BR207" s="48"/>
      <c r="BT207" s="20" cm="1">
        <f t="array" aca="1" ref="BT207" ca="1">_FV(EH207,"Baixo")</f>
        <v>7.28</v>
      </c>
      <c r="BU207" s="20" cm="1">
        <f t="array" aca="1" ref="BU207" ca="1">_FV(EH207,"Alto")</f>
        <v>7.39</v>
      </c>
      <c r="BV207" s="32"/>
      <c r="BW207" s="73">
        <f ca="1">SQRT(22.5*(BJ207/VLOOKUP(BK207,Fundamentus!A:U,3,FALSE))*(BJ207/VLOOKUP(BK207,Fundamentus!A:U,4,FALSE)))</f>
        <v>12.963494599313238</v>
      </c>
      <c r="BY207" s="72">
        <f t="shared" ca="1" si="198"/>
        <v>0</v>
      </c>
      <c r="BZ207" s="8"/>
      <c r="CA207" s="71">
        <f t="shared" si="205"/>
        <v>6.46</v>
      </c>
      <c r="CB207" s="71">
        <f t="shared" si="199"/>
        <v>9.09</v>
      </c>
      <c r="CC207" s="71">
        <f t="shared" si="206"/>
        <v>7.6832786885245916</v>
      </c>
      <c r="CD207" s="17"/>
      <c r="CE207" s="43">
        <f t="shared" si="203"/>
        <v>6.9944686857336276</v>
      </c>
      <c r="CF207" s="18">
        <f>FORECAST("04/07/2025", BF207:BI207, $BF$5:$BI$5)</f>
        <v>7.2299999999999045</v>
      </c>
      <c r="CG207" s="43">
        <f t="shared" si="204"/>
        <v>7.4655313142661814</v>
      </c>
      <c r="CI207" s="17"/>
      <c r="CJ207" s="20">
        <f>CA207-2*(CB207-CM207)</f>
        <v>3.5333333333333359</v>
      </c>
      <c r="CK207" s="20">
        <f>CM207-(CB207-CA207)</f>
        <v>4.9966666666666679</v>
      </c>
      <c r="CL207" s="20">
        <f>2*CM207-CB207</f>
        <v>6.1633333333333358</v>
      </c>
      <c r="CM207" s="48">
        <f>(CB207+CA207+BI207)/3</f>
        <v>7.6266666666666678</v>
      </c>
      <c r="CN207" s="20">
        <f>2*CM207-CA207</f>
        <v>8.7933333333333366</v>
      </c>
      <c r="CO207" s="20">
        <f>CM207+(CB207-CA207)</f>
        <v>10.256666666666668</v>
      </c>
      <c r="CP207" s="20">
        <f>CB207+2*(CM207-CA207)</f>
        <v>11.423333333333336</v>
      </c>
      <c r="CQ207" s="2" cm="1">
        <f t="array" aca="1" ref="CQ207" ca="1">MAX(_xlfn._xlws.FILTER(CJ207:CP207,CJ207:CP207&lt;BJ207))</f>
        <v>6.1633333333333358</v>
      </c>
      <c r="CR207" s="2" cm="1">
        <f t="array" aca="1" ref="CR207" ca="1">MIN(_xlfn._xlws.FILTER($CJ207:$CP207,$CJ207:$CP207&gt;BJ207))</f>
        <v>7.6266666666666678</v>
      </c>
      <c r="CS207" s="19">
        <f t="shared" ca="1" si="207"/>
        <v>0.23742563547863682</v>
      </c>
      <c r="CT207" s="23">
        <f t="shared" ca="1" si="208"/>
        <v>-0.11871281773931841</v>
      </c>
      <c r="CU207" s="23">
        <f t="shared" ca="1" si="209"/>
        <v>-7.9141878492878945E-2</v>
      </c>
      <c r="CV207" s="23">
        <f t="shared" ca="1" si="210"/>
        <v>-4.7485127095727366E-2</v>
      </c>
      <c r="CW207" s="23">
        <f t="shared" ca="1" si="211"/>
        <v>-2.6380626164292979E-2</v>
      </c>
      <c r="CX207" s="23">
        <f t="shared" ca="1" si="212"/>
        <v>-1.396621385168452E-2</v>
      </c>
      <c r="CY207" s="23">
        <f t="shared" ca="1" si="213"/>
        <v>-7.1947162266253585E-3</v>
      </c>
      <c r="CZ207" s="23">
        <f t="shared" ca="1" si="214"/>
        <v>-3.6527020842867203E-3</v>
      </c>
      <c r="DA207" s="24">
        <f t="shared" ca="1" si="215"/>
        <v>3.6527020842867203E-3</v>
      </c>
      <c r="DB207" s="24">
        <f t="shared" ca="1" si="216"/>
        <v>7.1947162266253585E-3</v>
      </c>
      <c r="DC207" s="24">
        <f t="shared" ca="1" si="217"/>
        <v>1.396621385168452E-2</v>
      </c>
      <c r="DD207" s="24">
        <f t="shared" ca="1" si="218"/>
        <v>2.6380626164292979E-2</v>
      </c>
      <c r="DE207" s="24">
        <f t="shared" ca="1" si="219"/>
        <v>4.7485127095727366E-2</v>
      </c>
      <c r="DF207" s="24">
        <f t="shared" ca="1" si="220"/>
        <v>7.9141878492878945E-2</v>
      </c>
      <c r="DG207" s="24">
        <f t="shared" ca="1" si="221"/>
        <v>0.11871281773931841</v>
      </c>
      <c r="DI207" s="19" cm="1">
        <f t="array" aca="1" ref="DI207" ca="1">MAX(_xlfn._xlws.FILTER(CT207:DG207,CT207:DG207&lt;BP207))</f>
        <v>-3.6527020842867203E-3</v>
      </c>
      <c r="DJ207" s="19" cm="1">
        <f t="array" aca="1" ref="DJ207" ca="1">MIN(_xlfn._xlws.FILTER(CT207:DG207,CT207:DG207&gt;BP207))</f>
        <v>3.6527020842867203E-3</v>
      </c>
      <c r="DK207" s="2" cm="1">
        <f t="array" aca="1" ref="DK207" ca="1">_FV(EH207,"Fechamento anterior",TRUE)</f>
        <v>7.33</v>
      </c>
      <c r="DL207" s="36">
        <f ca="1">(BJ207-DM207)/(DN207-DM207)</f>
        <v>0.5</v>
      </c>
      <c r="DM207" s="18">
        <f t="shared" ca="1" si="222"/>
        <v>7.3032256937221787</v>
      </c>
      <c r="DN207" s="18">
        <f t="shared" ca="1" si="223"/>
        <v>7.3567743062778215</v>
      </c>
      <c r="DO207" s="9"/>
      <c r="DP207" s="9"/>
      <c r="DQ207" s="94">
        <v>6.2479027655284441E-3</v>
      </c>
      <c r="DR207" s="94">
        <v>1.0621434701398355E-2</v>
      </c>
      <c r="DS207" s="94">
        <v>6.2609644481443358E-3</v>
      </c>
      <c r="DT207" s="94">
        <f t="shared" ca="1" si="200"/>
        <v>7.3054041685734405E-3</v>
      </c>
      <c r="DU207" s="87">
        <f ca="1">(BJ207-CF207)/(CF207-CE207)</f>
        <v>0.4245719950725611</v>
      </c>
      <c r="DV207" s="46"/>
      <c r="DW207" s="43">
        <f>_xlfn.STDEV.P(BF207:BI207)</f>
        <v>0.11776565713313855</v>
      </c>
      <c r="DX207" s="76">
        <f ca="1">BO207-$DT$2</f>
        <v>-0.48190000000000011</v>
      </c>
      <c r="DY207" s="76">
        <f ca="1">BO207-BP207*100</f>
        <v>0.51519999999999999</v>
      </c>
      <c r="DZ207" s="101"/>
      <c r="EA207" s="100">
        <v>-1.2517</v>
      </c>
      <c r="EB207" s="107">
        <v>-1.1202999999999999</v>
      </c>
      <c r="EC207" s="107">
        <v>0.59189999999999987</v>
      </c>
      <c r="ED207" s="98">
        <f t="shared" ca="1" si="196"/>
        <v>-0.9971000000000001</v>
      </c>
      <c r="EE207" s="66"/>
      <c r="EF207" s="66"/>
      <c r="EH207" s="2" t="e" vm="209">
        <v>#VALUE!</v>
      </c>
      <c r="EJ207" s="10" cm="1">
        <f t="array" aca="1" ref="EJ207" ca="1">_FV(EH207,"Ações em circulação",TRUE)</f>
        <v>239829900</v>
      </c>
      <c r="EK207" s="21">
        <f>VLOOKUP(BK207,Fundamentus!A:U,5,FALSE)</f>
        <v>1.0880000000000001</v>
      </c>
      <c r="EL207" s="2">
        <f ca="1">(BJ207*EJ207)/EK207</f>
        <v>1615765778.4926469</v>
      </c>
      <c r="EM207" s="20">
        <v>312650678.13832718</v>
      </c>
      <c r="EN207" s="20">
        <f t="shared" ca="1" si="201"/>
        <v>312650678.13832718</v>
      </c>
      <c r="EP207" s="19">
        <f t="shared" ca="1" si="197"/>
        <v>0</v>
      </c>
      <c r="EQ207" s="40" t="str">
        <f>IF(VLOOKUP(BK207,Fundamentus!A:U,3,FALSE)&lt;15,"Bom",IF(VLOOKUP(BK207,Fundamentus!A:U,3,FALSE)&gt;15,"Ruim","n/a"))</f>
        <v>Bom</v>
      </c>
      <c r="ER207" s="36" t="str">
        <f>IF(VLOOKUP(BK207,Fundamentus!A:U,4,FALSE)&lt;1,"Baixo",IF(VLOOKUP(BK207,Fundamentus!A:U,4,FALSE)&lt;1.5,"Moderado",IF(VLOOKUP(BK207,Fundamentus!A:U,4,FALSE)&gt;1.5,"Alto","n/a")))</f>
        <v>Moderado</v>
      </c>
      <c r="ES207" s="20" t="str">
        <f>IF(VLOOKUP(BK207,Fundamentus!A:U,8,FALSE)&lt;0,"Risco elevado",IF(VLOOKUP(BK207,Fundamentus!A:U,8,FALSE)&lt;1,"Saudável",IF(VLOOKUP(BK207,Fundamentus!A:U,8,FALSE)&lt;3,"Estável",IF(VLOOKUP(BK207,Fundamentus!A:U,8,FALSE)&gt;3,"Alerta","n/a"))))</f>
        <v>Estável</v>
      </c>
      <c r="ET207" s="36" t="str">
        <f t="shared" si="202"/>
        <v>Bom</v>
      </c>
      <c r="EU207" s="20" t="str">
        <f>IF(VLOOKUP(BK207,Fundamentus!A:U,12,FALSE)&lt;2,"Subvalorizada",IF(VLOOKUP(BK207,Fundamentus!A:U,12,FALSE)&lt;6,"Muita barata",IF(VLOOKUP(BK207,Fundamentus!A:U,12,FALSE)&lt;6,"Barata",IF(VLOOKUP(BK207,Fundamentus!A:U,12,FALSE)&lt;8,"Atrativa",IF(VLOOKUP(BK207,Fundamentus!A:U,12,FALSE)&gt;8,"Supervalorizada","n/a")))))</f>
        <v>Muita barata</v>
      </c>
      <c r="EW207" s="20" t="str">
        <f>IF(VLOOKUP(BK207,Fundamentus!A:U,17,FALSE)&lt;0.1,"Fraco retorno",IF(VLOOKUP(BK207,Fundamentus!A:U,17,FALSE)&gt;0.1,"Bom retorno","n/a"))</f>
        <v>Bom retorno</v>
      </c>
      <c r="EX207" s="20" t="str">
        <f>IF(VLOOKUP(BK207,Fundamentus!A:U,16,FALSE)&lt;0.1,"Ineficiente",IF(VLOOKUP(BK207,Fundamentus!A:U,16,FALSE)&gt;0.1,"Eficiente","n/a"))</f>
        <v>Eficiente</v>
      </c>
      <c r="EY207" s="41" t="str">
        <f>IF(VLOOKUP(BK207,Fundamentus!A:U,16,FALSE)&lt;0.1,"Oper. Ineficiente",IF(VLOOKUP(BK207,Fundamentus!A:U,16,FALSE)&gt;0.1,"Oper.Eficiente","n/a"))</f>
        <v>Oper.Eficiente</v>
      </c>
      <c r="EZ207" s="42">
        <f>VLOOKUP(BK207,Fundamentus!A:U,14,FALSE)</f>
        <v>0.19350000000000001</v>
      </c>
      <c r="FA207" s="20" t="str">
        <f>IF(VLOOKUP(BK207,Fundamentus!A:U,21,FALSE)&lt;0,"Negativo",IF(VLOOKUP(BK207,Fundamentus!A:U,21,FALSE)&lt;0.05,"Fraco",IF(VLOOKUP(BK207,Fundamentus!A:U,21,FALSE)&lt;0.1,"Bom",IF(VLOOKUP(BK207,Fundamentus!A:U,21,FALSE)&gt;0.1,"Muito bom","n/a"))))</f>
        <v>Bom</v>
      </c>
      <c r="FC207" s="37" t="str">
        <f>IF(VLOOKUP(BK207,Fundamentus!A:U,15,FALSE)&gt;1,"Bom",IF(VLOOKUP(BK207,Fundamentus!A:U,15,FALSE)&lt;1,"Ruim","n/a"))</f>
        <v>Bom</v>
      </c>
      <c r="FD207" s="20" t="str">
        <f>IF(VLOOKUP(BK207,Fundamentus!A:U,20,FALSE)&lt;0.5,"Baixa",IF(VLOOKUP(BK207,Fundamentus!A:U,20,FALSE)&lt;1,"Moderada",IF(VLOOKUP(BK207,Fundamentus!A:U,20,FALSE)&lt;2,"Alerta",IF(VLOOKUP(BK207,Fundamentus!A:U,20,FALSE)&gt;2,"Alta","n/a"))))</f>
        <v>Alerta</v>
      </c>
      <c r="FE207" s="10"/>
    </row>
    <row r="208" spans="1:161" s="2" customFormat="1" ht="11.25" hidden="1"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8">
        <v>4.43</v>
      </c>
      <c r="BC208" s="62">
        <v>4.18</v>
      </c>
      <c r="BD208" s="62">
        <v>4.4800000000000004</v>
      </c>
      <c r="BE208" s="62">
        <v>4.32</v>
      </c>
      <c r="BF208" s="62">
        <v>4.2</v>
      </c>
      <c r="BG208" s="81">
        <v>4.16</v>
      </c>
      <c r="BH208" s="62">
        <v>4.0199999999999996</v>
      </c>
      <c r="BI208" s="62">
        <v>3.97</v>
      </c>
      <c r="BJ208" s="62" cm="1">
        <f t="array" aca="1" ref="BJ208" ca="1">_FV(EH208,"Preço")</f>
        <v>3.98</v>
      </c>
      <c r="BK208" s="83" t="s">
        <v>204</v>
      </c>
      <c r="BL208" s="44" cm="1">
        <f t="array" aca="1" ref="BL208" ca="1">_FV(EH208,"Média de volume",TRUE)</f>
        <v>7899590</v>
      </c>
      <c r="BM208" s="44">
        <v>5273000</v>
      </c>
      <c r="BN208" s="44" cm="1">
        <f t="array" aca="1" ref="BN208" ca="1">_FV(EH208,"Volume")</f>
        <v>2345100</v>
      </c>
      <c r="BO208" s="32" cm="1">
        <f t="array" aca="1" ref="BO208" ca="1">_FV(EH208,"Beta")</f>
        <v>1.1977</v>
      </c>
      <c r="BP208" s="86" cm="1">
        <f t="array" aca="1" ref="BP208" ca="1">_FV(EH208,"Variação (%)",TRUE)</f>
        <v>2.519E-3</v>
      </c>
      <c r="BQ208" s="48"/>
      <c r="BR208" s="48"/>
      <c r="BT208" s="20" cm="1">
        <f t="array" aca="1" ref="BT208" ca="1">_FV(EH208,"Baixo")</f>
        <v>3.94</v>
      </c>
      <c r="BU208" s="20" cm="1">
        <f t="array" aca="1" ref="BU208" ca="1">_FV(EH208,"Alto")</f>
        <v>4.0199999999999996</v>
      </c>
      <c r="BV208" s="32"/>
      <c r="BW208" s="73" t="e">
        <f ca="1">SQRT(22.5*(BJ208/VLOOKUP(BK208,Fundamentus!A:U,3,FALSE))*(BJ208/VLOOKUP(BK208,Fundamentus!A:U,4,FALSE)))</f>
        <v>#NUM!</v>
      </c>
      <c r="BY208" s="72">
        <f t="shared" ca="1" si="198"/>
        <v>2.5188916876573769E-3</v>
      </c>
      <c r="BZ208" s="8"/>
      <c r="CA208" s="71">
        <f t="shared" si="205"/>
        <v>3.45</v>
      </c>
      <c r="CB208" s="71">
        <f t="shared" si="199"/>
        <v>5.25</v>
      </c>
      <c r="CC208" s="71">
        <f t="shared" si="206"/>
        <v>4.2890983606557374</v>
      </c>
      <c r="CD208" s="17"/>
      <c r="CE208" s="43">
        <f t="shared" si="203"/>
        <v>3.6895400304525863</v>
      </c>
      <c r="CF208" s="18">
        <f>FORECAST("04/07/2025", BF208:BI208, $BF$5:$BI$5)</f>
        <v>3.8799999999999955</v>
      </c>
      <c r="CG208" s="43">
        <f t="shared" si="204"/>
        <v>4.0704599695474046</v>
      </c>
      <c r="CI208" s="17"/>
      <c r="CJ208" s="20">
        <f>CA208-2*(CB208-CM208)</f>
        <v>1.3966666666666674</v>
      </c>
      <c r="CK208" s="20">
        <f>CM208-(CB208-CA208)</f>
        <v>2.4233333333333338</v>
      </c>
      <c r="CL208" s="20">
        <f>2*CM208-CB208</f>
        <v>3.1966666666666672</v>
      </c>
      <c r="CM208" s="48">
        <f>(CB208+CA208+BI208)/3</f>
        <v>4.2233333333333336</v>
      </c>
      <c r="CN208" s="20">
        <f>2*CM208-CA208</f>
        <v>4.996666666666667</v>
      </c>
      <c r="CO208" s="20">
        <f>CM208+(CB208-CA208)</f>
        <v>6.0233333333333334</v>
      </c>
      <c r="CP208" s="20">
        <f>CB208+2*(CM208-CA208)</f>
        <v>6.7966666666666669</v>
      </c>
      <c r="CQ208" s="2" cm="1">
        <f t="array" aca="1" ref="CQ208" ca="1">MAX(_xlfn._xlws.FILTER(CJ208:CP208,CJ208:CP208&lt;BJ208))</f>
        <v>3.1966666666666672</v>
      </c>
      <c r="CR208" s="2" cm="1">
        <f t="array" aca="1" ref="CR208" ca="1">MIN(_xlfn._xlws.FILTER($CJ208:$CP208,$CJ208:$CP208&gt;BJ208))</f>
        <v>4.2233333333333336</v>
      </c>
      <c r="CS208" s="19">
        <f t="shared" ca="1" si="207"/>
        <v>0.32116788321167866</v>
      </c>
      <c r="CT208" s="23">
        <f t="shared" ca="1" si="208"/>
        <v>-0.16058394160583933</v>
      </c>
      <c r="CU208" s="23">
        <f t="shared" ca="1" si="209"/>
        <v>-0.10705596107055955</v>
      </c>
      <c r="CV208" s="23">
        <f t="shared" ca="1" si="210"/>
        <v>-6.4233576642335727E-2</v>
      </c>
      <c r="CW208" s="23">
        <f t="shared" ca="1" si="211"/>
        <v>-3.5685320356853185E-2</v>
      </c>
      <c r="CX208" s="23">
        <f t="shared" ca="1" si="212"/>
        <v>-1.8892228424216392E-2</v>
      </c>
      <c r="CY208" s="23">
        <f t="shared" ca="1" si="213"/>
        <v>-9.732360097323596E-3</v>
      </c>
      <c r="CZ208" s="23">
        <f t="shared" ca="1" si="214"/>
        <v>-4.9410443571027488E-3</v>
      </c>
      <c r="DA208" s="24">
        <f t="shared" ca="1" si="215"/>
        <v>4.9410443571027488E-3</v>
      </c>
      <c r="DB208" s="24">
        <f t="shared" ca="1" si="216"/>
        <v>9.732360097323596E-3</v>
      </c>
      <c r="DC208" s="24">
        <f t="shared" ca="1" si="217"/>
        <v>1.8892228424216392E-2</v>
      </c>
      <c r="DD208" s="24">
        <f t="shared" ca="1" si="218"/>
        <v>3.5685320356853185E-2</v>
      </c>
      <c r="DE208" s="24">
        <f t="shared" ca="1" si="219"/>
        <v>6.4233576642335727E-2</v>
      </c>
      <c r="DF208" s="24">
        <f t="shared" ca="1" si="220"/>
        <v>0.10705596107055955</v>
      </c>
      <c r="DG208" s="24">
        <f t="shared" ca="1" si="221"/>
        <v>0.16058394160583933</v>
      </c>
      <c r="DI208" s="19" cm="1">
        <f t="array" aca="1" ref="DI208" ca="1">MAX(_xlfn._xlws.FILTER(CT208:DG208,CT208:DG208&lt;BP208))</f>
        <v>-4.9410443571027488E-3</v>
      </c>
      <c r="DJ208" s="19" cm="1">
        <f t="array" aca="1" ref="DJ208" ca="1">MIN(_xlfn._xlws.FILTER(CT208:DG208,CT208:DG208&gt;BP208))</f>
        <v>4.9410443571027488E-3</v>
      </c>
      <c r="DK208" s="2" cm="1">
        <f t="array" aca="1" ref="DK208" ca="1">_FV(EH208,"Fechamento anterior",TRUE)</f>
        <v>3.97</v>
      </c>
      <c r="DL208" s="36">
        <f ca="1">(BJ208-DM208)/(DN208-DM208)</f>
        <v>0.75489466452942011</v>
      </c>
      <c r="DM208" s="18">
        <f t="shared" ca="1" si="222"/>
        <v>3.9503840539023023</v>
      </c>
      <c r="DN208" s="18">
        <f t="shared" ca="1" si="223"/>
        <v>3.9896159460976981</v>
      </c>
      <c r="DO208" s="9"/>
      <c r="DP208" s="9"/>
      <c r="DQ208" s="94">
        <v>2.8553243654209394E-3</v>
      </c>
      <c r="DR208" s="94">
        <v>2.8553243654209394E-3</v>
      </c>
      <c r="DS208" s="94">
        <v>8.9190648869686036E-3</v>
      </c>
      <c r="DT208" s="94">
        <f t="shared" ca="1" si="200"/>
        <v>9.8820887142054975E-3</v>
      </c>
      <c r="DU208" s="87">
        <f ca="1">(BJ208-CF208)/(CF208-CE208)</f>
        <v>0.52504471274270881</v>
      </c>
      <c r="DV208" s="46"/>
      <c r="DW208" s="43">
        <f>_xlfn.STDEV.P(BF208:BI208)</f>
        <v>9.5229984773704646E-2</v>
      </c>
      <c r="DX208" s="76">
        <f ca="1">BO208-$DT$2</f>
        <v>0.20059999999999989</v>
      </c>
      <c r="DY208" s="76">
        <f ca="1">BO208-BP208*100</f>
        <v>0.94579999999999997</v>
      </c>
      <c r="DZ208" s="101"/>
      <c r="EA208" s="100">
        <v>6.5599999999999881E-2</v>
      </c>
      <c r="EB208" s="107">
        <v>-4.8329000000000004</v>
      </c>
      <c r="EC208" s="107">
        <v>0.43340000000000001</v>
      </c>
      <c r="ED208" s="98">
        <f t="shared" ca="1" si="196"/>
        <v>-0.74520000000000008</v>
      </c>
      <c r="EE208" s="66"/>
      <c r="EF208" s="66"/>
      <c r="EH208" s="2" t="e" vm="210">
        <v>#VALUE!</v>
      </c>
      <c r="EJ208" s="10" cm="1">
        <f t="array" aca="1" ref="EJ208" ca="1">_FV(EH208,"Ações em circulação",TRUE)</f>
        <v>462739900</v>
      </c>
      <c r="EK208" s="21">
        <f>VLOOKUP(BK208,Fundamentus!A:U,5,FALSE)</f>
        <v>0.56899999999999995</v>
      </c>
      <c r="EL208" s="2">
        <f ca="1">(BJ208*EJ208)/EK208</f>
        <v>3236739546.5729351</v>
      </c>
      <c r="EM208" s="20">
        <v>-38743284.421792619</v>
      </c>
      <c r="EN208" s="20">
        <f t="shared" ca="1" si="201"/>
        <v>-38840874.558875225</v>
      </c>
      <c r="EP208" s="19">
        <f t="shared" ca="1" si="197"/>
        <v>2.5188916876575096E-3</v>
      </c>
      <c r="EQ208" s="40" t="str">
        <f>IF(VLOOKUP(BK208,Fundamentus!A:U,3,FALSE)&lt;15,"Bom",IF(VLOOKUP(BK208,Fundamentus!A:U,3,FALSE)&gt;15,"Ruim","n/a"))</f>
        <v>Bom</v>
      </c>
      <c r="ER208" s="36" t="str">
        <f>IF(VLOOKUP(BK208,Fundamentus!A:U,4,FALSE)&lt;1,"Baixo",IF(VLOOKUP(BK208,Fundamentus!A:U,4,FALSE)&lt;1.5,"Moderado",IF(VLOOKUP(BK208,Fundamentus!A:U,4,FALSE)&gt;1.5,"Alto","n/a")))</f>
        <v>Moderado</v>
      </c>
      <c r="ES208" s="20" t="str">
        <f>IF(VLOOKUP(BK208,Fundamentus!A:U,8,FALSE)&lt;0,"Risco elevado",IF(VLOOKUP(BK208,Fundamentus!A:U,8,FALSE)&lt;1,"Saudável",IF(VLOOKUP(BK208,Fundamentus!A:U,8,FALSE)&lt;3,"Estável",IF(VLOOKUP(BK208,Fundamentus!A:U,8,FALSE)&gt;3,"Alerta","n/a"))))</f>
        <v>Alerta</v>
      </c>
      <c r="ET208" s="36" t="str">
        <f t="shared" si="202"/>
        <v>Ruim</v>
      </c>
      <c r="EU208" s="20" t="str">
        <f>IF(VLOOKUP(BK208,Fundamentus!A:U,12,FALSE)&lt;2,"Subvalorizada",IF(VLOOKUP(BK208,Fundamentus!A:U,12,FALSE)&lt;6,"Muita barata",IF(VLOOKUP(BK208,Fundamentus!A:U,12,FALSE)&lt;6,"Barata",IF(VLOOKUP(BK208,Fundamentus!A:U,12,FALSE)&lt;8,"Atrativa",IF(VLOOKUP(BK208,Fundamentus!A:U,12,FALSE)&gt;8,"Supervalorizada","n/a")))))</f>
        <v>Muita barata</v>
      </c>
      <c r="EW208" s="20" t="str">
        <f>IF(VLOOKUP(BK208,Fundamentus!A:U,17,FALSE)&lt;0.1,"Fraco retorno",IF(VLOOKUP(BK208,Fundamentus!A:U,17,FALSE)&gt;0.1,"Bom retorno","n/a"))</f>
        <v>Fraco retorno</v>
      </c>
      <c r="EX208" s="20" t="str">
        <f>IF(VLOOKUP(BK208,Fundamentus!A:U,16,FALSE)&lt;0.1,"Ineficiente",IF(VLOOKUP(BK208,Fundamentus!A:U,16,FALSE)&gt;0.1,"Eficiente","n/a"))</f>
        <v>Ineficiente</v>
      </c>
      <c r="EY208" s="41" t="str">
        <f>IF(VLOOKUP(BK208,Fundamentus!A:U,16,FALSE)&lt;0.1,"Oper. Ineficiente",IF(VLOOKUP(BK208,Fundamentus!A:U,16,FALSE)&gt;0.1,"Oper.Eficiente","n/a"))</f>
        <v>Oper. Ineficiente</v>
      </c>
      <c r="EZ208" s="42">
        <f>VLOOKUP(BK208,Fundamentus!A:U,14,FALSE)</f>
        <v>-1.2E-2</v>
      </c>
      <c r="FA208" s="20" t="str">
        <f>IF(VLOOKUP(BK208,Fundamentus!A:U,21,FALSE)&lt;0,"Negativo",IF(VLOOKUP(BK208,Fundamentus!A:U,21,FALSE)&lt;0.05,"Fraco",IF(VLOOKUP(BK208,Fundamentus!A:U,21,FALSE)&lt;0.1,"Bom",IF(VLOOKUP(BK208,Fundamentus!A:U,21,FALSE)&gt;0.1,"Muito bom","n/a"))))</f>
        <v>Muito bom</v>
      </c>
      <c r="FC208" s="37" t="str">
        <f>IF(VLOOKUP(BK208,Fundamentus!A:U,15,FALSE)&gt;1,"Bom",IF(VLOOKUP(BK208,Fundamentus!A:U,15,FALSE)&lt;1,"Ruim","n/a"))</f>
        <v>Bom</v>
      </c>
      <c r="FD208" s="20" t="str">
        <f>IF(VLOOKUP(BK208,Fundamentus!A:U,20,FALSE)&lt;0.5,"Baixa",IF(VLOOKUP(BK208,Fundamentus!A:U,20,FALSE)&lt;1,"Moderada",IF(VLOOKUP(BK208,Fundamentus!A:U,20,FALSE)&lt;2,"Alerta",IF(VLOOKUP(BK208,Fundamentus!A:U,20,FALSE)&gt;2,"Alta","n/a"))))</f>
        <v>Baixa</v>
      </c>
      <c r="FE208" s="10"/>
    </row>
    <row r="209" spans="1:161" s="2" customFormat="1" ht="11.25" hidden="1"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8">
        <v>38.020000000000003</v>
      </c>
      <c r="BC209" s="62">
        <v>40.67</v>
      </c>
      <c r="BD209" s="62">
        <v>42.5</v>
      </c>
      <c r="BE209" s="62">
        <v>42.21</v>
      </c>
      <c r="BF209" s="62">
        <v>40.98</v>
      </c>
      <c r="BG209" s="81">
        <v>41.04</v>
      </c>
      <c r="BH209" s="62">
        <v>40.89</v>
      </c>
      <c r="BI209" s="62">
        <v>41.52</v>
      </c>
      <c r="BJ209" s="62" cm="1">
        <f t="array" aca="1" ref="BJ209" ca="1">_FV(EH209,"Preço")</f>
        <v>42.03</v>
      </c>
      <c r="BK209" s="83" t="s">
        <v>32</v>
      </c>
      <c r="BL209" s="44" cm="1">
        <f t="array" aca="1" ref="BL209" ca="1">_FV(EH209,"Média de volume",TRUE)</f>
        <v>2915720</v>
      </c>
      <c r="BM209" s="44">
        <v>2305300</v>
      </c>
      <c r="BN209" s="44" cm="1">
        <f t="array" aca="1" ref="BN209" ca="1">_FV(EH209,"Volume")</f>
        <v>547400</v>
      </c>
      <c r="BO209" s="32" cm="1">
        <f t="array" aca="1" ref="BO209" ca="1">_FV(EH209,"Beta")</f>
        <v>0.9728</v>
      </c>
      <c r="BP209" s="86" cm="1">
        <f t="array" aca="1" ref="BP209" ca="1">_FV(EH209,"Variação (%)",TRUE)</f>
        <v>1.2282999999999999E-2</v>
      </c>
      <c r="BQ209" s="48"/>
      <c r="BR209" s="48"/>
      <c r="BT209" s="20" cm="1">
        <f t="array" aca="1" ref="BT209" ca="1">_FV(EH209,"Baixo")</f>
        <v>41.4</v>
      </c>
      <c r="BU209" s="20" cm="1">
        <f t="array" aca="1" ref="BU209" ca="1">_FV(EH209,"Alto")</f>
        <v>42.19</v>
      </c>
      <c r="BV209" s="32"/>
      <c r="BW209" s="73">
        <f ca="1">SQRT(22.5*(BJ209/VLOOKUP(BK209,Fundamentus!A:U,3,FALSE))*(BJ209/VLOOKUP(BK209,Fundamentus!A:U,4,FALSE)))</f>
        <v>15.728274850220076</v>
      </c>
      <c r="BY209" s="72">
        <f t="shared" ca="1" si="198"/>
        <v>1.2283236994219604E-2</v>
      </c>
      <c r="BZ209" s="8"/>
      <c r="CA209" s="71">
        <f t="shared" si="205"/>
        <v>26.14</v>
      </c>
      <c r="CB209" s="71">
        <f t="shared" si="199"/>
        <v>42.5</v>
      </c>
      <c r="CC209" s="71">
        <f t="shared" si="206"/>
        <v>31.851885245901649</v>
      </c>
      <c r="CD209" s="17"/>
      <c r="CE209" s="43">
        <f t="shared" si="203"/>
        <v>40.986865797141718</v>
      </c>
      <c r="CF209" s="18">
        <f>FORECAST("04/07/2025", BF209:BI209, $BF$5:$BI$5)</f>
        <v>41.474999999999909</v>
      </c>
      <c r="CG209" s="43">
        <f t="shared" si="204"/>
        <v>41.9631342028581</v>
      </c>
      <c r="CI209" s="17"/>
      <c r="CJ209" s="20">
        <f>CA209-2*(CB209-CM209)</f>
        <v>14.579999999999998</v>
      </c>
      <c r="CK209" s="20">
        <f>CM209-(CB209-CA209)</f>
        <v>20.36</v>
      </c>
      <c r="CL209" s="20">
        <f>2*CM209-CB209</f>
        <v>30.939999999999998</v>
      </c>
      <c r="CM209" s="48">
        <f>(CB209+CA209+BI209)/3</f>
        <v>36.72</v>
      </c>
      <c r="CN209" s="20">
        <f>2*CM209-CA209</f>
        <v>47.3</v>
      </c>
      <c r="CO209" s="20">
        <f>CM209+(CB209-CA209)</f>
        <v>53.08</v>
      </c>
      <c r="CP209" s="20">
        <f>CB209+2*(CM209-CA209)</f>
        <v>63.66</v>
      </c>
      <c r="CQ209" s="2" cm="1">
        <f t="array" aca="1" ref="CQ209" ca="1">MAX(_xlfn._xlws.FILTER(CJ209:CP209,CJ209:CP209&lt;BJ209))</f>
        <v>36.72</v>
      </c>
      <c r="CR209" s="2" cm="1">
        <f t="array" aca="1" ref="CR209" ca="1">MIN(_xlfn._xlws.FILTER($CJ209:$CP209,$CJ209:$CP209&gt;BJ209))</f>
        <v>47.3</v>
      </c>
      <c r="CS209" s="19">
        <f t="shared" ca="1" si="207"/>
        <v>0.28812636165577343</v>
      </c>
      <c r="CT209" s="23">
        <f t="shared" ca="1" si="208"/>
        <v>-0.14406318082788672</v>
      </c>
      <c r="CU209" s="23">
        <f t="shared" ca="1" si="209"/>
        <v>-9.6042120551924473E-2</v>
      </c>
      <c r="CV209" s="23">
        <f t="shared" ca="1" si="210"/>
        <v>-5.7625272331154685E-2</v>
      </c>
      <c r="CW209" s="23">
        <f t="shared" ca="1" si="211"/>
        <v>-3.2014040183974829E-2</v>
      </c>
      <c r="CX209" s="23">
        <f t="shared" ca="1" si="212"/>
        <v>-1.6948609509163142E-2</v>
      </c>
      <c r="CY209" s="23">
        <f t="shared" ca="1" si="213"/>
        <v>-8.73110186835677E-3</v>
      </c>
      <c r="CZ209" s="23">
        <f t="shared" ca="1" si="214"/>
        <v>-4.4327132562426682E-3</v>
      </c>
      <c r="DA209" s="24">
        <f t="shared" ca="1" si="215"/>
        <v>4.4327132562426682E-3</v>
      </c>
      <c r="DB209" s="24">
        <f t="shared" ca="1" si="216"/>
        <v>8.73110186835677E-3</v>
      </c>
      <c r="DC209" s="24">
        <f t="shared" ca="1" si="217"/>
        <v>1.6948609509163142E-2</v>
      </c>
      <c r="DD209" s="24">
        <f t="shared" ca="1" si="218"/>
        <v>3.2014040183974829E-2</v>
      </c>
      <c r="DE209" s="24">
        <f t="shared" ca="1" si="219"/>
        <v>5.7625272331154685E-2</v>
      </c>
      <c r="DF209" s="24">
        <f t="shared" ca="1" si="220"/>
        <v>9.6042120551924473E-2</v>
      </c>
      <c r="DG209" s="24">
        <f t="shared" ca="1" si="221"/>
        <v>0.14406318082788672</v>
      </c>
      <c r="DI209" s="19" cm="1">
        <f t="array" aca="1" ref="DI209" ca="1">MAX(_xlfn._xlws.FILTER(CT209:DG209,CT209:DG209&lt;BP209))</f>
        <v>8.73110186835677E-3</v>
      </c>
      <c r="DJ209" s="19" cm="1">
        <f t="array" aca="1" ref="DJ209" ca="1">MIN(_xlfn._xlws.FILTER(CT209:DG209,CT209:DG209&gt;BP209))</f>
        <v>1.6948609509163142E-2</v>
      </c>
      <c r="DK209" s="2" cm="1">
        <f t="array" aca="1" ref="DK209" ca="1">_FV(EH209,"Fechamento anterior",TRUE)</f>
        <v>41.52</v>
      </c>
      <c r="DL209" s="36">
        <f ca="1">(BJ209-DM209)/(DN209-DM209)</f>
        <v>0.43226429242653547</v>
      </c>
      <c r="DM209" s="18">
        <f t="shared" ca="1" si="222"/>
        <v>41.882515349574177</v>
      </c>
      <c r="DN209" s="18">
        <f t="shared" ca="1" si="223"/>
        <v>42.223706266820457</v>
      </c>
      <c r="DO209" s="9"/>
      <c r="DP209" s="9"/>
      <c r="DQ209" s="94">
        <v>7.8419142489367499E-3</v>
      </c>
      <c r="DR209" s="94">
        <v>3.9723743247437049E-3</v>
      </c>
      <c r="DS209" s="94">
        <v>4.2519114729180395E-3</v>
      </c>
      <c r="DT209" s="94">
        <f t="shared" ca="1" si="200"/>
        <v>8.2175076408063721E-3</v>
      </c>
      <c r="DU209" s="87">
        <f ca="1">(BJ209-CF209)/(CF209-CE209)</f>
        <v>1.1369824051467383</v>
      </c>
      <c r="DV209" s="46"/>
      <c r="DW209" s="43">
        <f>_xlfn.STDEV.P(BF209:BI209)</f>
        <v>0.24406710142909635</v>
      </c>
      <c r="DX209" s="76">
        <f ca="1">BO209-$DT$2</f>
        <v>-2.4300000000000099E-2</v>
      </c>
      <c r="DY209" s="76">
        <f ca="1">BO209-BP209*100</f>
        <v>-0.25549999999999995</v>
      </c>
      <c r="DZ209" s="101"/>
      <c r="EA209" s="100">
        <v>0.998</v>
      </c>
      <c r="EB209" s="107">
        <v>-0.8413999999999997</v>
      </c>
      <c r="EC209" s="107">
        <v>-0.63130000000000019</v>
      </c>
      <c r="ED209" s="98">
        <f t="shared" ca="1" si="196"/>
        <v>0.23119999999999985</v>
      </c>
      <c r="EE209" s="66"/>
      <c r="EF209" s="66"/>
      <c r="EH209" s="2" t="e" vm="211">
        <v>#VALUE!</v>
      </c>
      <c r="EJ209" s="10" cm="1">
        <f t="array" aca="1" ref="EJ209" ca="1">_FV(EH209,"Ações em circulação",TRUE)</f>
        <v>599401600</v>
      </c>
      <c r="EK209" s="21">
        <f>VLOOKUP(BK209,Fundamentus!A:U,5,FALSE)</f>
        <v>4.5229999999999997</v>
      </c>
      <c r="EL209" s="2">
        <f ca="1">(BJ209*EJ209)/EK209</f>
        <v>5569942349.7678537</v>
      </c>
      <c r="EM209" s="20">
        <v>815999337.22432005</v>
      </c>
      <c r="EN209" s="20">
        <f t="shared" ca="1" si="201"/>
        <v>826022450.47057259</v>
      </c>
      <c r="EP209" s="19">
        <f t="shared" ca="1" si="197"/>
        <v>1.2283236994219626E-2</v>
      </c>
      <c r="EQ209" s="40" t="str">
        <f>IF(VLOOKUP(BK209,Fundamentus!A:U,3,FALSE)&lt;15,"Bom",IF(VLOOKUP(BK209,Fundamentus!A:U,3,FALSE)&gt;15,"Ruim","n/a"))</f>
        <v>Ruim</v>
      </c>
      <c r="ER209" s="36" t="str">
        <f>IF(VLOOKUP(BK209,Fundamentus!A:U,4,FALSE)&lt;1,"Baixo",IF(VLOOKUP(BK209,Fundamentus!A:U,4,FALSE)&lt;1.5,"Moderado",IF(VLOOKUP(BK209,Fundamentus!A:U,4,FALSE)&gt;1.5,"Alto","n/a")))</f>
        <v>Alto</v>
      </c>
      <c r="ES209" s="20" t="str">
        <f>IF(VLOOKUP(BK209,Fundamentus!A:U,8,FALSE)&lt;0,"Risco elevado",IF(VLOOKUP(BK209,Fundamentus!A:U,8,FALSE)&lt;1,"Saudável",IF(VLOOKUP(BK209,Fundamentus!A:U,8,FALSE)&lt;3,"Estável",IF(VLOOKUP(BK209,Fundamentus!A:U,8,FALSE)&gt;3,"Alerta","n/a"))))</f>
        <v>Alerta</v>
      </c>
      <c r="ET209" s="36" t="str">
        <f t="shared" si="202"/>
        <v>Bom</v>
      </c>
      <c r="EU209" s="20" t="str">
        <f>IF(VLOOKUP(BK209,Fundamentus!A:U,12,FALSE)&lt;2,"Subvalorizada",IF(VLOOKUP(BK209,Fundamentus!A:U,12,FALSE)&lt;6,"Muita barata",IF(VLOOKUP(BK209,Fundamentus!A:U,12,FALSE)&lt;6,"Barata",IF(VLOOKUP(BK209,Fundamentus!A:U,12,FALSE)&lt;8,"Atrativa",IF(VLOOKUP(BK209,Fundamentus!A:U,12,FALSE)&gt;8,"Supervalorizada","n/a")))))</f>
        <v>Supervalorizada</v>
      </c>
      <c r="EW209" s="20" t="str">
        <f>IF(VLOOKUP(BK209,Fundamentus!A:U,17,FALSE)&lt;0.1,"Fraco retorno",IF(VLOOKUP(BK209,Fundamentus!A:U,17,FALSE)&gt;0.1,"Bom retorno","n/a"))</f>
        <v>Bom retorno</v>
      </c>
      <c r="EX209" s="20" t="str">
        <f>IF(VLOOKUP(BK209,Fundamentus!A:U,16,FALSE)&lt;0.1,"Ineficiente",IF(VLOOKUP(BK209,Fundamentus!A:U,16,FALSE)&gt;0.1,"Eficiente","n/a"))</f>
        <v>Eficiente</v>
      </c>
      <c r="EY209" s="41" t="str">
        <f>IF(VLOOKUP(BK209,Fundamentus!A:U,16,FALSE)&lt;0.1,"Oper. Ineficiente",IF(VLOOKUP(BK209,Fundamentus!A:U,16,FALSE)&gt;0.1,"Oper.Eficiente","n/a"))</f>
        <v>Oper.Eficiente</v>
      </c>
      <c r="EZ209" s="42">
        <f>VLOOKUP(BK209,Fundamentus!A:U,14,FALSE)</f>
        <v>0.14829999999999999</v>
      </c>
      <c r="FA209" s="20" t="str">
        <f>IF(VLOOKUP(BK209,Fundamentus!A:U,21,FALSE)&lt;0,"Negativo",IF(VLOOKUP(BK209,Fundamentus!A:U,21,FALSE)&lt;0.05,"Fraco",IF(VLOOKUP(BK209,Fundamentus!A:U,21,FALSE)&lt;0.1,"Bom",IF(VLOOKUP(BK209,Fundamentus!A:U,21,FALSE)&gt;0.1,"Muito bom","n/a"))))</f>
        <v>Muito bom</v>
      </c>
      <c r="FC209" s="37" t="str">
        <f>IF(VLOOKUP(BK209,Fundamentus!A:U,15,FALSE)&gt;1,"Bom",IF(VLOOKUP(BK209,Fundamentus!A:U,15,FALSE)&lt;1,"Ruim","n/a"))</f>
        <v>Bom</v>
      </c>
      <c r="FD209" s="20" t="str">
        <f>IF(VLOOKUP(BK209,Fundamentus!A:U,20,FALSE)&lt;0.5,"Baixa",IF(VLOOKUP(BK209,Fundamentus!A:U,20,FALSE)&lt;1,"Moderada",IF(VLOOKUP(BK209,Fundamentus!A:U,20,FALSE)&lt;2,"Alerta",IF(VLOOKUP(BK209,Fundamentus!A:U,20,FALSE)&gt;2,"Alta","n/a"))))</f>
        <v>Baixa</v>
      </c>
      <c r="FE209" s="10">
        <v>4</v>
      </c>
    </row>
    <row r="210" spans="1:161" s="2" customFormat="1" ht="11.25" hidden="1"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8">
        <v>15.7</v>
      </c>
      <c r="BC210" s="62">
        <v>15.97</v>
      </c>
      <c r="BD210" s="62">
        <v>15.54</v>
      </c>
      <c r="BE210" s="62">
        <v>15.85</v>
      </c>
      <c r="BF210" s="62">
        <v>17.07</v>
      </c>
      <c r="BG210" s="81">
        <v>16.53</v>
      </c>
      <c r="BH210" s="62">
        <v>16.54</v>
      </c>
      <c r="BI210" s="62">
        <v>16.18</v>
      </c>
      <c r="BJ210" s="62" cm="1">
        <f t="array" aca="1" ref="BJ210" ca="1">_FV(EH210,"Preço")</f>
        <v>16.239999999999998</v>
      </c>
      <c r="BK210" s="83" t="s">
        <v>206</v>
      </c>
      <c r="BL210" s="44" cm="1">
        <f t="array" aca="1" ref="BL210" ca="1">_FV(EH210,"Média de volume",TRUE)</f>
        <v>2227410</v>
      </c>
      <c r="BM210" s="44">
        <v>2218400</v>
      </c>
      <c r="BN210" s="44" cm="1">
        <f t="array" aca="1" ref="BN210" ca="1">_FV(EH210,"Volume")</f>
        <v>1778000</v>
      </c>
      <c r="BO210" s="32" cm="1">
        <f t="array" aca="1" ref="BO210" ca="1">_FV(EH210,"Beta")</f>
        <v>1.9766999999999999</v>
      </c>
      <c r="BP210" s="86" cm="1">
        <f t="array" aca="1" ref="BP210" ca="1">_FV(EH210,"Variação (%)",TRUE)</f>
        <v>3.7080000000000004E-3</v>
      </c>
      <c r="BQ210" s="48"/>
      <c r="BR210" s="48"/>
      <c r="BT210" s="20" cm="1">
        <f t="array" aca="1" ref="BT210" ca="1">_FV(EH210,"Baixo")</f>
        <v>16.05</v>
      </c>
      <c r="BU210" s="20" cm="1">
        <f t="array" aca="1" ref="BU210" ca="1">_FV(EH210,"Alto")</f>
        <v>16.399999999999999</v>
      </c>
      <c r="BV210" s="32"/>
      <c r="BW210" s="73">
        <f ca="1">SQRT(22.5*(BJ210/VLOOKUP(BK210,Fundamentus!A:U,3,FALSE))*(BJ210/VLOOKUP(BK210,Fundamentus!A:U,4,FALSE)))</f>
        <v>16.930225420752556</v>
      </c>
      <c r="BY210" s="72">
        <f t="shared" ca="1" si="198"/>
        <v>3.708281829418957E-3</v>
      </c>
      <c r="BZ210" s="8"/>
      <c r="CA210" s="71">
        <f t="shared" si="205"/>
        <v>8.0399999999999991</v>
      </c>
      <c r="CB210" s="71">
        <f t="shared" si="199"/>
        <v>17.07</v>
      </c>
      <c r="CC210" s="71">
        <f t="shared" si="206"/>
        <v>11.643114754098363</v>
      </c>
      <c r="CD210" s="17"/>
      <c r="CE210" s="43">
        <f t="shared" si="203"/>
        <v>15.279232746989642</v>
      </c>
      <c r="CF210" s="18">
        <f>FORECAST("04/07/2025", BF210:BI210, $BF$5:$BI$5)</f>
        <v>15.914999999999736</v>
      </c>
      <c r="CG210" s="43">
        <f t="shared" si="204"/>
        <v>16.55076725300983</v>
      </c>
      <c r="CI210" s="17"/>
      <c r="CJ210" s="20">
        <f>CA210-2*(CB210-CM210)</f>
        <v>1.4266666666666659</v>
      </c>
      <c r="CK210" s="20">
        <f>CM210-(CB210-CA210)</f>
        <v>4.7333333333333325</v>
      </c>
      <c r="CL210" s="20">
        <f>2*CM210-CB210</f>
        <v>10.456666666666667</v>
      </c>
      <c r="CM210" s="48">
        <f>(CB210+CA210+BI210)/3</f>
        <v>13.763333333333334</v>
      </c>
      <c r="CN210" s="20">
        <f>2*CM210-CA210</f>
        <v>19.486666666666668</v>
      </c>
      <c r="CO210" s="20">
        <f>CM210+(CB210-CA210)</f>
        <v>22.793333333333337</v>
      </c>
      <c r="CP210" s="20">
        <f>CB210+2*(CM210-CA210)</f>
        <v>28.516666666666669</v>
      </c>
      <c r="CQ210" s="2" cm="1">
        <f t="array" aca="1" ref="CQ210" ca="1">MAX(_xlfn._xlws.FILTER(CJ210:CP210,CJ210:CP210&lt;BJ210))</f>
        <v>13.763333333333334</v>
      </c>
      <c r="CR210" s="2" cm="1">
        <f t="array" aca="1" ref="CR210" ca="1">MIN(_xlfn._xlws.FILTER($CJ210:$CP210,$CJ210:$CP210&gt;BJ210))</f>
        <v>19.486666666666668</v>
      </c>
      <c r="CS210" s="19">
        <f t="shared" ca="1" si="207"/>
        <v>0.41583918624364258</v>
      </c>
      <c r="CT210" s="23">
        <f t="shared" ca="1" si="208"/>
        <v>-0.20791959312182129</v>
      </c>
      <c r="CU210" s="23">
        <f t="shared" ca="1" si="209"/>
        <v>-0.13861306208121418</v>
      </c>
      <c r="CV210" s="23">
        <f t="shared" ca="1" si="210"/>
        <v>-8.3167837248728518E-2</v>
      </c>
      <c r="CW210" s="23">
        <f t="shared" ca="1" si="211"/>
        <v>-4.6204354027071397E-2</v>
      </c>
      <c r="CX210" s="23">
        <f t="shared" ca="1" si="212"/>
        <v>-2.446112860256721E-2</v>
      </c>
      <c r="CY210" s="23">
        <f t="shared" ca="1" si="213"/>
        <v>-1.2601187461928563E-2</v>
      </c>
      <c r="CZ210" s="23">
        <f t="shared" ca="1" si="214"/>
        <v>-6.3975259422098859E-3</v>
      </c>
      <c r="DA210" s="24">
        <f t="shared" ca="1" si="215"/>
        <v>6.3975259422098859E-3</v>
      </c>
      <c r="DB210" s="24">
        <f t="shared" ca="1" si="216"/>
        <v>1.2601187461928563E-2</v>
      </c>
      <c r="DC210" s="24">
        <f t="shared" ca="1" si="217"/>
        <v>2.446112860256721E-2</v>
      </c>
      <c r="DD210" s="24">
        <f t="shared" ca="1" si="218"/>
        <v>4.6204354027071397E-2</v>
      </c>
      <c r="DE210" s="24">
        <f t="shared" ca="1" si="219"/>
        <v>8.3167837248728518E-2</v>
      </c>
      <c r="DF210" s="24">
        <f t="shared" ca="1" si="220"/>
        <v>0.13861306208121418</v>
      </c>
      <c r="DG210" s="24">
        <f t="shared" ca="1" si="221"/>
        <v>0.20791959312182129</v>
      </c>
      <c r="DI210" s="19" cm="1">
        <f t="array" aca="1" ref="DI210" ca="1">MAX(_xlfn._xlws.FILTER(CT210:DG210,CT210:DG210&lt;BP210))</f>
        <v>-6.3975259422098859E-3</v>
      </c>
      <c r="DJ210" s="19" cm="1">
        <f t="array" aca="1" ref="DJ210" ca="1">MIN(_xlfn._xlws.FILTER(CT210:DG210,CT210:DG210&gt;BP210))</f>
        <v>6.3975259422098859E-3</v>
      </c>
      <c r="DK210" s="2" cm="1">
        <f t="array" aca="1" ref="DK210" ca="1">_FV(EH210,"Fechamento anterior",TRUE)</f>
        <v>16.18</v>
      </c>
      <c r="DL210" s="36">
        <f ca="1">(BJ210-DM210)/(DN210-DM210)</f>
        <v>0.7898215546850883</v>
      </c>
      <c r="DM210" s="18">
        <f t="shared" ca="1" si="222"/>
        <v>16.076488030255042</v>
      </c>
      <c r="DN210" s="18">
        <f t="shared" ca="1" si="223"/>
        <v>16.283511969744957</v>
      </c>
      <c r="DO210" s="9"/>
      <c r="DP210" s="9"/>
      <c r="DQ210" s="94">
        <v>2.1070342328350491E-2</v>
      </c>
      <c r="DR210" s="94">
        <v>1.1859941140638647E-2</v>
      </c>
      <c r="DS210" s="94">
        <v>1.1999979452089981E-2</v>
      </c>
      <c r="DT210" s="94">
        <f t="shared" ca="1" si="200"/>
        <v>1.2795051884419772E-2</v>
      </c>
      <c r="DU210" s="87">
        <f ca="1">(BJ210-CF210)/(CF210-CE210)</f>
        <v>0.51119336276211458</v>
      </c>
      <c r="DV210" s="46"/>
      <c r="DW210" s="43">
        <f>_xlfn.STDEV.P(BF210:BI210)</f>
        <v>0.31788362650504681</v>
      </c>
      <c r="DX210" s="76">
        <f ca="1">BO210-$DT$2</f>
        <v>0.9795999999999998</v>
      </c>
      <c r="DY210" s="76">
        <f ca="1">BO210-BP210*100</f>
        <v>1.6058999999999999</v>
      </c>
      <c r="DZ210" s="101"/>
      <c r="EA210" s="100">
        <v>1.7180000000000002</v>
      </c>
      <c r="EB210" s="107">
        <v>-2.3150000000000004</v>
      </c>
      <c r="EC210" s="107">
        <v>-1.8771999999999998</v>
      </c>
      <c r="ED210" s="98">
        <f t="shared" ca="1" si="196"/>
        <v>-0.62630000000000008</v>
      </c>
      <c r="EE210" s="66"/>
      <c r="EF210" s="66"/>
      <c r="EH210" s="2" t="e" vm="212">
        <v>#VALUE!</v>
      </c>
      <c r="EJ210" s="10" cm="1">
        <f t="array" aca="1" ref="EJ210" ca="1">_FV(EH210,"Ações em circulação",TRUE)</f>
        <v>274088800</v>
      </c>
      <c r="EK210" s="21">
        <f>VLOOKUP(BK210,Fundamentus!A:U,5,FALSE)</f>
        <v>0.84299999999999997</v>
      </c>
      <c r="EL210" s="2">
        <f ca="1">(BJ210*EJ210)/EK210</f>
        <v>5280192303.6773434</v>
      </c>
      <c r="EM210" s="20">
        <v>312484641.71957296</v>
      </c>
      <c r="EN210" s="20">
        <f t="shared" ca="1" si="201"/>
        <v>313643422.83843422</v>
      </c>
      <c r="EP210" s="19">
        <f t="shared" ca="1" si="197"/>
        <v>3.7082818294191799E-3</v>
      </c>
      <c r="EQ210" s="40" t="str">
        <f>IF(VLOOKUP(BK210,Fundamentus!A:U,3,FALSE)&lt;15,"Bom",IF(VLOOKUP(BK210,Fundamentus!A:U,3,FALSE)&gt;15,"Ruim","n/a"))</f>
        <v>Bom</v>
      </c>
      <c r="ER210" s="36" t="str">
        <f>IF(VLOOKUP(BK210,Fundamentus!A:U,4,FALSE)&lt;1,"Baixo",IF(VLOOKUP(BK210,Fundamentus!A:U,4,FALSE)&lt;1.5,"Moderado",IF(VLOOKUP(BK210,Fundamentus!A:U,4,FALSE)&gt;1.5,"Alto","n/a")))</f>
        <v>Moderado</v>
      </c>
      <c r="ES210" s="20" t="str">
        <f>IF(VLOOKUP(BK210,Fundamentus!A:U,8,FALSE)&lt;0,"Risco elevado",IF(VLOOKUP(BK210,Fundamentus!A:U,8,FALSE)&lt;1,"Saudável",IF(VLOOKUP(BK210,Fundamentus!A:U,8,FALSE)&lt;3,"Estável",IF(VLOOKUP(BK210,Fundamentus!A:U,8,FALSE)&gt;3,"Alerta","n/a"))))</f>
        <v>Alerta</v>
      </c>
      <c r="ET210" s="36" t="str">
        <f t="shared" si="202"/>
        <v>Ruim</v>
      </c>
      <c r="EU210" s="20" t="str">
        <f>IF(VLOOKUP(BK210,Fundamentus!A:U,12,FALSE)&lt;2,"Subvalorizada",IF(VLOOKUP(BK210,Fundamentus!A:U,12,FALSE)&lt;6,"Muita barata",IF(VLOOKUP(BK210,Fundamentus!A:U,12,FALSE)&lt;6,"Barata",IF(VLOOKUP(BK210,Fundamentus!A:U,12,FALSE)&lt;8,"Atrativa",IF(VLOOKUP(BK210,Fundamentus!A:U,12,FALSE)&gt;8,"Supervalorizada","n/a")))))</f>
        <v>Muita barata</v>
      </c>
      <c r="EW210" s="20" t="str">
        <f>IF(VLOOKUP(BK210,Fundamentus!A:U,17,FALSE)&lt;0.1,"Fraco retorno",IF(VLOOKUP(BK210,Fundamentus!A:U,17,FALSE)&gt;0.1,"Bom retorno","n/a"))</f>
        <v>Bom retorno</v>
      </c>
      <c r="EX210" s="20" t="str">
        <f>IF(VLOOKUP(BK210,Fundamentus!A:U,16,FALSE)&lt;0.1,"Ineficiente",IF(VLOOKUP(BK210,Fundamentus!A:U,16,FALSE)&gt;0.1,"Eficiente","n/a"))</f>
        <v>Eficiente</v>
      </c>
      <c r="EY210" s="41" t="str">
        <f>IF(VLOOKUP(BK210,Fundamentus!A:U,16,FALSE)&lt;0.1,"Oper. Ineficiente",IF(VLOOKUP(BK210,Fundamentus!A:U,16,FALSE)&gt;0.1,"Oper.Eficiente","n/a"))</f>
        <v>Oper.Eficiente</v>
      </c>
      <c r="EZ210" s="42">
        <f>VLOOKUP(BK210,Fundamentus!A:U,14,FALSE)</f>
        <v>5.9400000000000001E-2</v>
      </c>
      <c r="FA210" s="20" t="str">
        <f>IF(VLOOKUP(BK210,Fundamentus!A:U,21,FALSE)&lt;0,"Negativo",IF(VLOOKUP(BK210,Fundamentus!A:U,21,FALSE)&lt;0.05,"Fraco",IF(VLOOKUP(BK210,Fundamentus!A:U,21,FALSE)&lt;0.1,"Bom",IF(VLOOKUP(BK210,Fundamentus!A:U,21,FALSE)&gt;0.1,"Muito bom","n/a"))))</f>
        <v>Bom</v>
      </c>
      <c r="FC210" s="37" t="str">
        <f>IF(VLOOKUP(BK210,Fundamentus!A:U,15,FALSE)&gt;1,"Bom",IF(VLOOKUP(BK210,Fundamentus!A:U,15,FALSE)&lt;1,"Ruim","n/a"))</f>
        <v>Bom</v>
      </c>
      <c r="FD210" s="20" t="str">
        <f>IF(VLOOKUP(BK210,Fundamentus!A:U,20,FALSE)&lt;0.5,"Baixa",IF(VLOOKUP(BK210,Fundamentus!A:U,20,FALSE)&lt;1,"Moderada",IF(VLOOKUP(BK210,Fundamentus!A:U,20,FALSE)&lt;2,"Alerta",IF(VLOOKUP(BK210,Fundamentus!A:U,20,FALSE)&gt;2,"Alta","n/a"))))</f>
        <v>Alerta</v>
      </c>
    </row>
    <row r="211" spans="1:161" s="2" customFormat="1" ht="11.25" hidden="1"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8">
        <v>6.67</v>
      </c>
      <c r="BC211" s="62">
        <v>6.59</v>
      </c>
      <c r="BD211" s="62">
        <v>6.32</v>
      </c>
      <c r="BE211" s="62">
        <v>6.22</v>
      </c>
      <c r="BF211" s="62">
        <v>5.83</v>
      </c>
      <c r="BG211" s="81">
        <v>6.02</v>
      </c>
      <c r="BH211" s="62">
        <v>6.2</v>
      </c>
      <c r="BI211" s="62">
        <v>5.85</v>
      </c>
      <c r="BJ211" s="62" cm="1">
        <f t="array" aca="1" ref="BJ211" ca="1">_FV(EH211,"Preço")</f>
        <v>5.93</v>
      </c>
      <c r="BK211" s="83" t="s">
        <v>207</v>
      </c>
      <c r="BL211" s="44" cm="1">
        <f t="array" aca="1" ref="BL211" ca="1">_FV(EH211,"Média de volume",TRUE)</f>
        <v>486460</v>
      </c>
      <c r="BM211" s="44">
        <v>554100</v>
      </c>
      <c r="BN211" s="44" cm="1">
        <f t="array" aca="1" ref="BN211" ca="1">_FV(EH211,"Volume")</f>
        <v>222800</v>
      </c>
      <c r="BO211" s="32" cm="1">
        <f t="array" aca="1" ref="BO211" ca="1">_FV(EH211,"Beta")</f>
        <v>1.4613</v>
      </c>
      <c r="BP211" s="86" cm="1">
        <f t="array" aca="1" ref="BP211" ca="1">_FV(EH211,"Variação (%)",TRUE)</f>
        <v>1.3675E-2</v>
      </c>
      <c r="BQ211" s="48"/>
      <c r="BR211" s="48"/>
      <c r="BT211" s="20" cm="1">
        <f t="array" aca="1" ref="BT211" ca="1">_FV(EH211,"Baixo")</f>
        <v>5.81</v>
      </c>
      <c r="BU211" s="20" cm="1">
        <f t="array" aca="1" ref="BU211" ca="1">_FV(EH211,"Alto")</f>
        <v>5.98</v>
      </c>
      <c r="BV211" s="32"/>
      <c r="BW211" s="73">
        <f ca="1">SQRT(22.5*(BJ211/VLOOKUP(BK211,Fundamentus!A:U,3,FALSE))*(BJ211/VLOOKUP(BK211,Fundamentus!A:U,4,FALSE)))</f>
        <v>9.9112711013801658</v>
      </c>
      <c r="BY211" s="72">
        <f t="shared" ca="1" si="198"/>
        <v>1.3675213675213687E-2</v>
      </c>
      <c r="BZ211" s="8"/>
      <c r="CA211" s="71">
        <f t="shared" si="205"/>
        <v>5.17</v>
      </c>
      <c r="CB211" s="71">
        <f t="shared" si="199"/>
        <v>12.01</v>
      </c>
      <c r="CC211" s="71">
        <f t="shared" si="206"/>
        <v>7.5347540983606551</v>
      </c>
      <c r="CD211" s="17"/>
      <c r="CE211" s="43">
        <f t="shared" si="203"/>
        <v>5.7361689440503181</v>
      </c>
      <c r="CF211" s="18">
        <f>FORECAST("04/07/2025", BF211:BI211, $BF$5:$BI$5)</f>
        <v>6.0349999999999966</v>
      </c>
      <c r="CG211" s="43">
        <f t="shared" si="204"/>
        <v>6.3338310559496751</v>
      </c>
      <c r="CI211" s="17"/>
      <c r="CJ211" s="20">
        <f>CA211-2*(CB211-CM211)</f>
        <v>-3.4966666666666661</v>
      </c>
      <c r="CK211" s="20">
        <f>CM211-(CB211-CA211)</f>
        <v>0.83666666666666689</v>
      </c>
      <c r="CL211" s="20">
        <f>2*CM211-CB211</f>
        <v>3.3433333333333337</v>
      </c>
      <c r="CM211" s="48">
        <f>(CB211+CA211+BI211)/3</f>
        <v>7.6766666666666667</v>
      </c>
      <c r="CN211" s="20">
        <f>2*CM211-CA211</f>
        <v>10.183333333333334</v>
      </c>
      <c r="CO211" s="20">
        <f>CM211+(CB211-CA211)</f>
        <v>14.516666666666666</v>
      </c>
      <c r="CP211" s="20">
        <f>CB211+2*(CM211-CA211)</f>
        <v>17.023333333333333</v>
      </c>
      <c r="CQ211" s="2" cm="1">
        <f t="array" aca="1" ref="CQ211" ca="1">MAX(_xlfn._xlws.FILTER(CJ211:CP211,CJ211:CP211&lt;BJ211))</f>
        <v>3.3433333333333337</v>
      </c>
      <c r="CR211" s="2" cm="1">
        <f t="array" aca="1" ref="CR211" ca="1">MIN(_xlfn._xlws.FILTER($CJ211:$CP211,$CJ211:$CP211&gt;BJ211))</f>
        <v>7.6766666666666667</v>
      </c>
      <c r="CS211" s="19">
        <f t="shared" ca="1" si="207"/>
        <v>1.2961116650049846</v>
      </c>
      <c r="CT211" s="23">
        <f t="shared" ca="1" si="208"/>
        <v>-0.64805583250249232</v>
      </c>
      <c r="CU211" s="23">
        <f t="shared" ca="1" si="209"/>
        <v>-0.4320372216683282</v>
      </c>
      <c r="CV211" s="23">
        <f t="shared" ca="1" si="210"/>
        <v>-0.25922233300099695</v>
      </c>
      <c r="CW211" s="23">
        <f t="shared" ca="1" si="211"/>
        <v>-0.14401240722277608</v>
      </c>
      <c r="CX211" s="23">
        <f t="shared" ca="1" si="212"/>
        <v>-7.6241862647352041E-2</v>
      </c>
      <c r="CY211" s="23">
        <f t="shared" ca="1" si="213"/>
        <v>-3.927611106075711E-2</v>
      </c>
      <c r="CZ211" s="23">
        <f t="shared" ca="1" si="214"/>
        <v>-1.9940179461615148E-2</v>
      </c>
      <c r="DA211" s="24">
        <f t="shared" ca="1" si="215"/>
        <v>1.9940179461615148E-2</v>
      </c>
      <c r="DB211" s="24">
        <f t="shared" ca="1" si="216"/>
        <v>3.927611106075711E-2</v>
      </c>
      <c r="DC211" s="24">
        <f t="shared" ca="1" si="217"/>
        <v>7.6241862647352041E-2</v>
      </c>
      <c r="DD211" s="24">
        <f t="shared" ca="1" si="218"/>
        <v>0.14401240722277608</v>
      </c>
      <c r="DE211" s="24">
        <f t="shared" ca="1" si="219"/>
        <v>0.25922233300099695</v>
      </c>
      <c r="DF211" s="24">
        <f t="shared" ca="1" si="220"/>
        <v>0.4320372216683282</v>
      </c>
      <c r="DG211" s="24">
        <f t="shared" ca="1" si="221"/>
        <v>0.64805583250249232</v>
      </c>
      <c r="DI211" s="19" cm="1">
        <f t="array" aca="1" ref="DI211" ca="1">MAX(_xlfn._xlws.FILTER(CT211:DG211,CT211:DG211&lt;BP211))</f>
        <v>-1.9940179461615148E-2</v>
      </c>
      <c r="DJ211" s="19" cm="1">
        <f t="array" aca="1" ref="DJ211" ca="1">MIN(_xlfn._xlws.FILTER(CT211:DG211,CT211:DG211&gt;BP211))</f>
        <v>1.9940179461615148E-2</v>
      </c>
      <c r="DK211" s="2" cm="1">
        <f t="array" aca="1" ref="DK211" ca="1">_FV(EH211,"Fechamento anterior",TRUE)</f>
        <v>5.85</v>
      </c>
      <c r="DL211" s="36">
        <f ca="1">(BJ211-DM211)/(DN211-DM211)</f>
        <v>0.84290598290598218</v>
      </c>
      <c r="DM211" s="18">
        <f t="shared" ca="1" si="222"/>
        <v>5.7333499501495506</v>
      </c>
      <c r="DN211" s="18">
        <f t="shared" ca="1" si="223"/>
        <v>5.9666500498504487</v>
      </c>
      <c r="DO211" s="9"/>
      <c r="DP211" s="9"/>
      <c r="DQ211" s="94">
        <v>4.8549374500931601E-2</v>
      </c>
      <c r="DR211" s="94">
        <v>4.8549374500931601E-2</v>
      </c>
      <c r="DS211" s="94">
        <v>1.8457402449687882E-2</v>
      </c>
      <c r="DT211" s="94">
        <f t="shared" ca="1" si="200"/>
        <v>3.9880358923230295E-2</v>
      </c>
      <c r="DU211" s="87">
        <f ca="1">(BJ211-CF211)/(CF211-CE211)</f>
        <v>-0.35136910274037342</v>
      </c>
      <c r="DV211" s="46"/>
      <c r="DW211" s="43">
        <f>_xlfn.STDEV.P(BF211:BI211)</f>
        <v>0.14941552797483942</v>
      </c>
      <c r="DX211" s="76">
        <f ca="1">BO211-$DT$2</f>
        <v>0.46419999999999995</v>
      </c>
      <c r="DY211" s="76">
        <f ca="1">BO211-BP211*100</f>
        <v>9.3800000000000106E-2</v>
      </c>
      <c r="DZ211" s="101"/>
      <c r="EA211" s="100">
        <v>7.2718000000000007</v>
      </c>
      <c r="EB211" s="107">
        <v>-6.9062000000000001</v>
      </c>
      <c r="EC211" s="107">
        <v>-2.8042000000000007</v>
      </c>
      <c r="ED211" s="98">
        <f t="shared" ca="1" si="196"/>
        <v>0.37039999999999984</v>
      </c>
      <c r="EE211" s="66"/>
      <c r="EF211" s="66"/>
      <c r="EH211" s="2" t="e" vm="213">
        <v>#VALUE!</v>
      </c>
      <c r="EJ211" s="10" cm="1">
        <f t="array" aca="1" ref="EJ211" ca="1">_FV(EH211,"Ações em circulação",TRUE)</f>
        <v>286431100</v>
      </c>
      <c r="EK211" s="21">
        <f>VLOOKUP(BK211,Fundamentus!A:U,5,FALSE)</f>
        <v>0.185</v>
      </c>
      <c r="EL211" s="2">
        <f ca="1">(BJ211*EJ211)/EK211</f>
        <v>9181277962.1621628</v>
      </c>
      <c r="EM211" s="20">
        <v>200168890.61351353</v>
      </c>
      <c r="EN211" s="20">
        <f t="shared" ca="1" si="201"/>
        <v>202906242.9637838</v>
      </c>
      <c r="EP211" s="19">
        <f t="shared" ca="1" si="197"/>
        <v>1.3675213675213627E-2</v>
      </c>
      <c r="EQ211" s="40" t="str">
        <f>IF(VLOOKUP(BK211,Fundamentus!A:U,3,FALSE)&lt;15,"Bom",IF(VLOOKUP(BK211,Fundamentus!A:U,3,FALSE)&gt;15,"Ruim","n/a"))</f>
        <v>Bom</v>
      </c>
      <c r="ER211" s="36" t="str">
        <f>IF(VLOOKUP(BK211,Fundamentus!A:U,4,FALSE)&lt;1,"Baixo",IF(VLOOKUP(BK211,Fundamentus!A:U,4,FALSE)&lt;1.5,"Moderado",IF(VLOOKUP(BK211,Fundamentus!A:U,4,FALSE)&gt;1.5,"Alto","n/a")))</f>
        <v>Baixo</v>
      </c>
      <c r="ES211" s="20" t="str">
        <f>IF(VLOOKUP(BK211,Fundamentus!A:U,8,FALSE)&lt;0,"Risco elevado",IF(VLOOKUP(BK211,Fundamentus!A:U,8,FALSE)&lt;1,"Saudável",IF(VLOOKUP(BK211,Fundamentus!A:U,8,FALSE)&lt;3,"Estável",IF(VLOOKUP(BK211,Fundamentus!A:U,8,FALSE)&gt;3,"Alerta","n/a"))))</f>
        <v>Saudável</v>
      </c>
      <c r="ET211" s="36" t="str">
        <f t="shared" si="202"/>
        <v>Ruim</v>
      </c>
      <c r="EU211" s="20" t="str">
        <f>IF(VLOOKUP(BK211,Fundamentus!A:U,12,FALSE)&lt;2,"Subvalorizada",IF(VLOOKUP(BK211,Fundamentus!A:U,12,FALSE)&lt;6,"Muita barata",IF(VLOOKUP(BK211,Fundamentus!A:U,12,FALSE)&lt;6,"Barata",IF(VLOOKUP(BK211,Fundamentus!A:U,12,FALSE)&lt;8,"Atrativa",IF(VLOOKUP(BK211,Fundamentus!A:U,12,FALSE)&gt;8,"Supervalorizada","n/a")))))</f>
        <v>Muita barata</v>
      </c>
      <c r="EW211" s="20" t="str">
        <f>IF(VLOOKUP(BK211,Fundamentus!A:U,17,FALSE)&lt;0.1,"Fraco retorno",IF(VLOOKUP(BK211,Fundamentus!A:U,17,FALSE)&gt;0.1,"Bom retorno","n/a"))</f>
        <v>Bom retorno</v>
      </c>
      <c r="EX211" s="20" t="str">
        <f>IF(VLOOKUP(BK211,Fundamentus!A:U,16,FALSE)&lt;0.1,"Ineficiente",IF(VLOOKUP(BK211,Fundamentus!A:U,16,FALSE)&gt;0.1,"Eficiente","n/a"))</f>
        <v>Eficiente</v>
      </c>
      <c r="EY211" s="41" t="str">
        <f>IF(VLOOKUP(BK211,Fundamentus!A:U,16,FALSE)&lt;0.1,"Oper. Ineficiente",IF(VLOOKUP(BK211,Fundamentus!A:U,16,FALSE)&gt;0.1,"Oper.Eficiente","n/a"))</f>
        <v>Oper.Eficiente</v>
      </c>
      <c r="EZ211" s="42">
        <f>VLOOKUP(BK211,Fundamentus!A:U,14,FALSE)</f>
        <v>2.2100000000000002E-2</v>
      </c>
      <c r="FA211" s="20" t="str">
        <f>IF(VLOOKUP(BK211,Fundamentus!A:U,21,FALSE)&lt;0,"Negativo",IF(VLOOKUP(BK211,Fundamentus!A:U,21,FALSE)&lt;0.05,"Fraco",IF(VLOOKUP(BK211,Fundamentus!A:U,21,FALSE)&lt;0.1,"Bom",IF(VLOOKUP(BK211,Fundamentus!A:U,21,FALSE)&gt;0.1,"Muito bom","n/a"))))</f>
        <v>Muito bom</v>
      </c>
      <c r="FC211" s="37" t="str">
        <f>IF(VLOOKUP(BK211,Fundamentus!A:U,15,FALSE)&gt;1,"Bom",IF(VLOOKUP(BK211,Fundamentus!A:U,15,FALSE)&lt;1,"Ruim","n/a"))</f>
        <v>Bom</v>
      </c>
      <c r="FD211" s="20" t="str">
        <f>IF(VLOOKUP(BK211,Fundamentus!A:U,20,FALSE)&lt;0.5,"Baixa",IF(VLOOKUP(BK211,Fundamentus!A:U,20,FALSE)&lt;1,"Moderada",IF(VLOOKUP(BK211,Fundamentus!A:U,20,FALSE)&lt;2,"Alerta",IF(VLOOKUP(BK211,Fundamentus!A:U,20,FALSE)&gt;2,"Alta","n/a"))))</f>
        <v>Alta</v>
      </c>
    </row>
    <row r="212" spans="1:161" s="2" customFormat="1" ht="11.25" hidden="1"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8">
        <v>5.36</v>
      </c>
      <c r="BC212" s="62">
        <v>4.78</v>
      </c>
      <c r="BD212" s="62">
        <v>5.2</v>
      </c>
      <c r="BE212" s="62">
        <v>5.04</v>
      </c>
      <c r="BF212" s="62">
        <v>4.62</v>
      </c>
      <c r="BG212" s="81">
        <v>4.5999999999999996</v>
      </c>
      <c r="BH212" s="62">
        <v>4.5</v>
      </c>
      <c r="BI212" s="62">
        <v>5.08</v>
      </c>
      <c r="BJ212" s="62" cm="1">
        <f t="array" aca="1" ref="BJ212" ca="1">_FV(EH212,"Preço")</f>
        <v>5.08</v>
      </c>
      <c r="BK212" s="83" t="s">
        <v>208</v>
      </c>
      <c r="BL212" s="44" cm="1">
        <f t="array" aca="1" ref="BL212" ca="1">_FV(EH212,"Média de volume",TRUE)</f>
        <v>2470290</v>
      </c>
      <c r="BM212" s="44">
        <v>2606900</v>
      </c>
      <c r="BN212" s="44" cm="1">
        <f t="array" aca="1" ref="BN212" ca="1">_FV(EH212,"Volume")</f>
        <v>1507200</v>
      </c>
      <c r="BO212" s="32" cm="1">
        <f t="array" aca="1" ref="BO212" ca="1">_FV(EH212,"Beta")</f>
        <v>1.3983000000000001</v>
      </c>
      <c r="BP212" s="86" cm="1">
        <f t="array" aca="1" ref="BP212" ca="1">_FV(EH212,"Variação (%)",TRUE)</f>
        <v>0</v>
      </c>
      <c r="BQ212" s="48"/>
      <c r="BR212" s="48"/>
      <c r="BT212" s="20" cm="1">
        <f t="array" aca="1" ref="BT212" ca="1">_FV(EH212,"Baixo")</f>
        <v>4.99</v>
      </c>
      <c r="BU212" s="20" cm="1">
        <f t="array" aca="1" ref="BU212" ca="1">_FV(EH212,"Alto")</f>
        <v>5.35</v>
      </c>
      <c r="BV212" s="32"/>
      <c r="BW212" s="73" t="e">
        <f ca="1">SQRT(22.5*(BJ212/VLOOKUP(BK212,Fundamentus!A:U,3,FALSE))*(BJ212/VLOOKUP(BK212,Fundamentus!A:U,4,FALSE)))</f>
        <v>#NUM!</v>
      </c>
      <c r="BY212" s="72">
        <f t="shared" ca="1" si="198"/>
        <v>0</v>
      </c>
      <c r="BZ212" s="8"/>
      <c r="CA212" s="71">
        <f t="shared" si="205"/>
        <v>1.95</v>
      </c>
      <c r="CB212" s="71">
        <f t="shared" si="199"/>
        <v>9.08</v>
      </c>
      <c r="CC212" s="71">
        <f t="shared" si="206"/>
        <v>5.0550819672131153</v>
      </c>
      <c r="CD212" s="17"/>
      <c r="CE212" s="43">
        <f t="shared" si="203"/>
        <v>4.57189286995182</v>
      </c>
      <c r="CF212" s="18">
        <f>FORECAST("04/07/2025", BF212:BI212, $BF$5:$BI$5)</f>
        <v>5.0199999999999818</v>
      </c>
      <c r="CG212" s="43">
        <f t="shared" si="204"/>
        <v>5.4681071300481436</v>
      </c>
      <c r="CI212" s="17"/>
      <c r="CJ212" s="20">
        <f>CA212-2*(CB212-CM212)</f>
        <v>-5.47</v>
      </c>
      <c r="CK212" s="20">
        <f>CM212-(CB212-CA212)</f>
        <v>-1.7599999999999998</v>
      </c>
      <c r="CL212" s="20">
        <f>2*CM212-CB212</f>
        <v>1.6600000000000001</v>
      </c>
      <c r="CM212" s="48">
        <f>(CB212+CA212+BI212)/3</f>
        <v>5.37</v>
      </c>
      <c r="CN212" s="20">
        <f>2*CM212-CA212</f>
        <v>8.7900000000000009</v>
      </c>
      <c r="CO212" s="20">
        <f>CM212+(CB212-CA212)</f>
        <v>12.5</v>
      </c>
      <c r="CP212" s="20">
        <f>CB212+2*(CM212-CA212)</f>
        <v>15.92</v>
      </c>
      <c r="CQ212" s="2" cm="1">
        <f t="array" aca="1" ref="CQ212" ca="1">MAX(_xlfn._xlws.FILTER(CJ212:CP212,CJ212:CP212&lt;BJ212))</f>
        <v>1.6600000000000001</v>
      </c>
      <c r="CR212" s="2" cm="1">
        <f t="array" aca="1" ref="CR212" ca="1">MIN(_xlfn._xlws.FILTER($CJ212:$CP212,$CJ212:$CP212&gt;BJ212))</f>
        <v>5.37</v>
      </c>
      <c r="CS212" s="19">
        <f t="shared" ca="1" si="207"/>
        <v>2.2349397590361444</v>
      </c>
      <c r="CT212" s="23">
        <f t="shared" ca="1" si="208"/>
        <v>-1.1174698795180722</v>
      </c>
      <c r="CU212" s="23">
        <f t="shared" ca="1" si="209"/>
        <v>-0.7449799196787148</v>
      </c>
      <c r="CV212" s="23">
        <f t="shared" ca="1" si="210"/>
        <v>-0.44698795180722889</v>
      </c>
      <c r="CW212" s="23">
        <f t="shared" ca="1" si="211"/>
        <v>-0.24832663989290493</v>
      </c>
      <c r="CX212" s="23">
        <f t="shared" ca="1" si="212"/>
        <v>-0.13146704464918496</v>
      </c>
      <c r="CY212" s="23">
        <f t="shared" ca="1" si="213"/>
        <v>-6.7725447243519532E-2</v>
      </c>
      <c r="CZ212" s="23">
        <f t="shared" ca="1" si="214"/>
        <v>-3.4383688600556066E-2</v>
      </c>
      <c r="DA212" s="24">
        <f t="shared" ca="1" si="215"/>
        <v>3.4383688600556066E-2</v>
      </c>
      <c r="DB212" s="24">
        <f t="shared" ca="1" si="216"/>
        <v>6.7725447243519532E-2</v>
      </c>
      <c r="DC212" s="24">
        <f t="shared" ca="1" si="217"/>
        <v>0.13146704464918496</v>
      </c>
      <c r="DD212" s="24">
        <f t="shared" ca="1" si="218"/>
        <v>0.24832663989290493</v>
      </c>
      <c r="DE212" s="24">
        <f t="shared" ca="1" si="219"/>
        <v>0.44698795180722889</v>
      </c>
      <c r="DF212" s="24">
        <f t="shared" ca="1" si="220"/>
        <v>0.7449799196787148</v>
      </c>
      <c r="DG212" s="24">
        <f t="shared" ca="1" si="221"/>
        <v>1.1174698795180722</v>
      </c>
      <c r="DI212" s="19" cm="1">
        <f t="array" aca="1" ref="DI212" ca="1">MAX(_xlfn._xlws.FILTER(CT212:DG212,CT212:DG212&lt;BP212))</f>
        <v>-3.4383688600556066E-2</v>
      </c>
      <c r="DJ212" s="19" cm="1">
        <f t="array" aca="1" ref="DJ212" ca="1">MIN(_xlfn._xlws.FILTER(CT212:DG212,CT212:DG212&gt;BP212))</f>
        <v>3.4383688600556066E-2</v>
      </c>
      <c r="DK212" s="2" cm="1">
        <f t="array" aca="1" ref="DK212" ca="1">_FV(EH212,"Fechamento anterior",TRUE)</f>
        <v>5.08</v>
      </c>
      <c r="DL212" s="36">
        <f ca="1">(BJ212-DM212)/(DN212-DM212)</f>
        <v>0.5</v>
      </c>
      <c r="DM212" s="18">
        <f t="shared" ca="1" si="222"/>
        <v>4.9053308619091753</v>
      </c>
      <c r="DN212" s="18">
        <f t="shared" ca="1" si="223"/>
        <v>5.2546691380908248</v>
      </c>
      <c r="DO212" s="9"/>
      <c r="DP212" s="9"/>
      <c r="DQ212" s="94">
        <v>2.9388560157790965E-2</v>
      </c>
      <c r="DR212" s="94">
        <v>1.4248998864383499E-2</v>
      </c>
      <c r="DS212" s="94">
        <v>8.8863375430539612E-2</v>
      </c>
      <c r="DT212" s="94">
        <f t="shared" ca="1" si="200"/>
        <v>6.8767377201112131E-2</v>
      </c>
      <c r="DU212" s="87">
        <f ca="1">(BJ212-CF212)/(CF212-CE212)</f>
        <v>0.13389655280327623</v>
      </c>
      <c r="DV212" s="46"/>
      <c r="DW212" s="43">
        <f>_xlfn.STDEV.P(BF212:BI212)</f>
        <v>0.22405356502408083</v>
      </c>
      <c r="DX212" s="76">
        <f ca="1">BO212-$DT$2</f>
        <v>0.4012</v>
      </c>
      <c r="DY212" s="76">
        <f ca="1">BO212-BP212*100</f>
        <v>1.3983000000000001</v>
      </c>
      <c r="DZ212" s="101"/>
      <c r="EA212" s="100">
        <v>1.8041</v>
      </c>
      <c r="EB212" s="107">
        <v>-3.4191000000000003</v>
      </c>
      <c r="EC212" s="107">
        <v>0.18090000000000006</v>
      </c>
      <c r="ED212" s="98">
        <f t="shared" ca="1" si="196"/>
        <v>-0.9971000000000001</v>
      </c>
      <c r="EE212" s="66"/>
      <c r="EF212" s="66"/>
      <c r="EH212" s="2" t="e" vm="214">
        <v>#VALUE!</v>
      </c>
      <c r="EJ212" s="10" cm="1">
        <f t="array" aca="1" ref="EJ212" ca="1">_FV(EH212,"Ações em circulação",TRUE)</f>
        <v>651756300</v>
      </c>
      <c r="EK212" s="21">
        <f>VLOOKUP(BK212,Fundamentus!A:U,5,FALSE)</f>
        <v>0.47899999999999998</v>
      </c>
      <c r="EL212" s="2">
        <f ca="1">(BJ212*EJ212)/EK212</f>
        <v>6912154496.8684759</v>
      </c>
      <c r="EM212" s="20">
        <v>-959407044.16534448</v>
      </c>
      <c r="EN212" s="20">
        <f t="shared" ca="1" si="201"/>
        <v>-959407044.16534448</v>
      </c>
      <c r="EP212" s="19">
        <f t="shared" ca="1" si="197"/>
        <v>0</v>
      </c>
      <c r="EQ212" s="40" t="str">
        <f>IF(VLOOKUP(BK212,Fundamentus!A:U,3,FALSE)&lt;15,"Bom",IF(VLOOKUP(BK212,Fundamentus!A:U,3,FALSE)&gt;15,"Ruim","n/a"))</f>
        <v>Bom</v>
      </c>
      <c r="ER212" s="36" t="str">
        <f>IF(VLOOKUP(BK212,Fundamentus!A:U,4,FALSE)&lt;1,"Baixo",IF(VLOOKUP(BK212,Fundamentus!A:U,4,FALSE)&lt;1.5,"Moderado",IF(VLOOKUP(BK212,Fundamentus!A:U,4,FALSE)&gt;1.5,"Alto","n/a")))</f>
        <v>Moderado</v>
      </c>
      <c r="ES212" s="20" t="str">
        <f>IF(VLOOKUP(BK212,Fundamentus!A:U,8,FALSE)&lt;0,"Risco elevado",IF(VLOOKUP(BK212,Fundamentus!A:U,8,FALSE)&lt;1,"Saudável",IF(VLOOKUP(BK212,Fundamentus!A:U,8,FALSE)&lt;3,"Estável",IF(VLOOKUP(BK212,Fundamentus!A:U,8,FALSE)&gt;3,"Alerta","n/a"))))</f>
        <v>Estável</v>
      </c>
      <c r="ET212" s="36" t="str">
        <f t="shared" si="202"/>
        <v>Ruim</v>
      </c>
      <c r="EU212" s="20" t="str">
        <f>IF(VLOOKUP(BK212,Fundamentus!A:U,12,FALSE)&lt;2,"Subvalorizada",IF(VLOOKUP(BK212,Fundamentus!A:U,12,FALSE)&lt;6,"Muita barata",IF(VLOOKUP(BK212,Fundamentus!A:U,12,FALSE)&lt;6,"Barata",IF(VLOOKUP(BK212,Fundamentus!A:U,12,FALSE)&lt;8,"Atrativa",IF(VLOOKUP(BK212,Fundamentus!A:U,12,FALSE)&gt;8,"Supervalorizada","n/a")))))</f>
        <v>Atrativa</v>
      </c>
      <c r="EW212" s="20" t="str">
        <f>IF(VLOOKUP(BK212,Fundamentus!A:U,17,FALSE)&lt;0.1,"Fraco retorno",IF(VLOOKUP(BK212,Fundamentus!A:U,17,FALSE)&gt;0.1,"Bom retorno","n/a"))</f>
        <v>Fraco retorno</v>
      </c>
      <c r="EX212" s="20" t="str">
        <f>IF(VLOOKUP(BK212,Fundamentus!A:U,16,FALSE)&lt;0.1,"Ineficiente",IF(VLOOKUP(BK212,Fundamentus!A:U,16,FALSE)&gt;0.1,"Eficiente","n/a"))</f>
        <v>Ineficiente</v>
      </c>
      <c r="EY212" s="41" t="str">
        <f>IF(VLOOKUP(BK212,Fundamentus!A:U,16,FALSE)&lt;0.1,"Oper. Ineficiente",IF(VLOOKUP(BK212,Fundamentus!A:U,16,FALSE)&gt;0.1,"Oper.Eficiente","n/a"))</f>
        <v>Oper. Ineficiente</v>
      </c>
      <c r="EZ212" s="42">
        <f>VLOOKUP(BK212,Fundamentus!A:U,14,FALSE)</f>
        <v>-0.13880000000000001</v>
      </c>
      <c r="FA212" s="20" t="str">
        <f>IF(VLOOKUP(BK212,Fundamentus!A:U,21,FALSE)&lt;0,"Negativo",IF(VLOOKUP(BK212,Fundamentus!A:U,21,FALSE)&lt;0.05,"Fraco",IF(VLOOKUP(BK212,Fundamentus!A:U,21,FALSE)&lt;0.1,"Bom",IF(VLOOKUP(BK212,Fundamentus!A:U,21,FALSE)&gt;0.1,"Muito bom","n/a"))))</f>
        <v>Muito bom</v>
      </c>
      <c r="FC212" s="37" t="str">
        <f>IF(VLOOKUP(BK212,Fundamentus!A:U,15,FALSE)&gt;1,"Bom",IF(VLOOKUP(BK212,Fundamentus!A:U,15,FALSE)&lt;1,"Ruim","n/a"))</f>
        <v>Bom</v>
      </c>
      <c r="FD212" s="20" t="str">
        <f>IF(VLOOKUP(BK212,Fundamentus!A:U,20,FALSE)&lt;0.5,"Baixa",IF(VLOOKUP(BK212,Fundamentus!A:U,20,FALSE)&lt;1,"Moderada",IF(VLOOKUP(BK212,Fundamentus!A:U,20,FALSE)&lt;2,"Alerta",IF(VLOOKUP(BK212,Fundamentus!A:U,20,FALSE)&gt;2,"Alta","n/a"))))</f>
        <v>Alerta</v>
      </c>
    </row>
    <row r="213" spans="1:161" s="2" customFormat="1" ht="11.25" hidden="1"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8">
        <v>5.55</v>
      </c>
      <c r="BC213" s="62">
        <v>5.97</v>
      </c>
      <c r="BD213" s="62">
        <v>5.83</v>
      </c>
      <c r="BE213" s="62">
        <v>6.09</v>
      </c>
      <c r="BF213" s="62">
        <v>5.41</v>
      </c>
      <c r="BG213" s="81">
        <v>4.9800000000000004</v>
      </c>
      <c r="BH213" s="62">
        <v>5</v>
      </c>
      <c r="BI213" s="62">
        <v>4.92</v>
      </c>
      <c r="BJ213" s="62" cm="1">
        <f t="array" aca="1" ref="BJ213" ca="1">_FV(EH213,"Preço")</f>
        <v>4.88</v>
      </c>
      <c r="BK213" s="83" t="s">
        <v>209</v>
      </c>
      <c r="BL213" s="44" cm="1">
        <f t="array" aca="1" ref="BL213" ca="1">_FV(EH213,"Média de volume",TRUE)</f>
        <v>23060</v>
      </c>
      <c r="BM213" s="44">
        <v>16900</v>
      </c>
      <c r="BN213" s="44" cm="1">
        <f t="array" aca="1" ref="BN213" ca="1">_FV(EH213,"Volume")</f>
        <v>800</v>
      </c>
      <c r="BO213" s="32" cm="1">
        <f t="array" aca="1" ref="BO213" ca="1">_FV(EH213,"Beta")</f>
        <v>0.90739999999999998</v>
      </c>
      <c r="BP213" s="86" cm="1">
        <f t="array" aca="1" ref="BP213" ca="1">_FV(EH213,"Variação (%)",TRUE)</f>
        <v>-8.1300000000000001E-3</v>
      </c>
      <c r="BQ213" s="48"/>
      <c r="BR213" s="48"/>
      <c r="BT213" s="20" cm="1">
        <f t="array" aca="1" ref="BT213" ca="1">_FV(EH213,"Baixo")</f>
        <v>4.87</v>
      </c>
      <c r="BU213" s="20" cm="1">
        <f t="array" aca="1" ref="BU213" ca="1">_FV(EH213,"Alto")</f>
        <v>4.9400000000000004</v>
      </c>
      <c r="BV213" s="32"/>
      <c r="BW213" s="73" t="e">
        <f ca="1">SQRT(22.5*(BJ213/VLOOKUP(BK213,Fundamentus!A:U,3,FALSE))*(BJ213/VLOOKUP(BK213,Fundamentus!A:U,4,FALSE)))</f>
        <v>#NUM!</v>
      </c>
      <c r="BY213" s="72">
        <f t="shared" ca="1" si="198"/>
        <v>-8.1300813008130159E-3</v>
      </c>
      <c r="BZ213" s="8"/>
      <c r="CA213" s="71">
        <f t="shared" si="205"/>
        <v>4.92</v>
      </c>
      <c r="CB213" s="71">
        <f t="shared" si="199"/>
        <v>16.13</v>
      </c>
      <c r="CC213" s="71">
        <f t="shared" si="206"/>
        <v>10.615655737704921</v>
      </c>
      <c r="CD213" s="17"/>
      <c r="CE213" s="43">
        <f t="shared" si="203"/>
        <v>4.3265736878118792</v>
      </c>
      <c r="CF213" s="18">
        <f>FORECAST("04/07/2025", BF213:BI213, $BF$5:$BI$5)</f>
        <v>4.7149999999999181</v>
      </c>
      <c r="CG213" s="43">
        <f t="shared" si="204"/>
        <v>5.1034263121879571</v>
      </c>
      <c r="CI213" s="17"/>
      <c r="CJ213" s="20">
        <f>CA213-2*(CB213-CM213)</f>
        <v>-10.026666666666666</v>
      </c>
      <c r="CK213" s="20">
        <f>CM213-(CB213-CA213)</f>
        <v>-2.5533333333333328</v>
      </c>
      <c r="CL213" s="20">
        <f>2*CM213-CB213</f>
        <v>1.1833333333333336</v>
      </c>
      <c r="CM213" s="48">
        <f>(CB213+CA213+BI213)/3</f>
        <v>8.6566666666666663</v>
      </c>
      <c r="CN213" s="20">
        <f>2*CM213-CA213</f>
        <v>12.393333333333333</v>
      </c>
      <c r="CO213" s="20">
        <f>CM213+(CB213-CA213)</f>
        <v>19.866666666666667</v>
      </c>
      <c r="CP213" s="20">
        <f>CB213+2*(CM213-CA213)</f>
        <v>23.603333333333332</v>
      </c>
      <c r="CQ213" s="2" cm="1">
        <f t="array" aca="1" ref="CQ213" ca="1">MAX(_xlfn._xlws.FILTER(CJ213:CP213,CJ213:CP213&lt;BJ213))</f>
        <v>1.1833333333333336</v>
      </c>
      <c r="CR213" s="2" cm="1">
        <f t="array" aca="1" ref="CR213" ca="1">MIN(_xlfn._xlws.FILTER($CJ213:$CP213,$CJ213:$CP213&gt;BJ213))</f>
        <v>8.6566666666666663</v>
      </c>
      <c r="CS213" s="19">
        <f t="shared" ca="1" si="207"/>
        <v>6.3154929577464767</v>
      </c>
      <c r="CT213" s="23">
        <f t="shared" ca="1" si="208"/>
        <v>-3.1577464788732383</v>
      </c>
      <c r="CU213" s="23">
        <f t="shared" ca="1" si="209"/>
        <v>-2.1051643192488254</v>
      </c>
      <c r="CV213" s="23">
        <f t="shared" ca="1" si="210"/>
        <v>-1.2630985915492954</v>
      </c>
      <c r="CW213" s="23">
        <f t="shared" ca="1" si="211"/>
        <v>-0.70172143974960854</v>
      </c>
      <c r="CX213" s="23">
        <f t="shared" ca="1" si="212"/>
        <v>-0.37149958574979275</v>
      </c>
      <c r="CY213" s="23">
        <f t="shared" ca="1" si="213"/>
        <v>-0.19137857447716597</v>
      </c>
      <c r="CZ213" s="23">
        <f t="shared" ca="1" si="214"/>
        <v>-9.7161430119176564E-2</v>
      </c>
      <c r="DA213" s="24">
        <f t="shared" ca="1" si="215"/>
        <v>9.7161430119176564E-2</v>
      </c>
      <c r="DB213" s="24">
        <f t="shared" ca="1" si="216"/>
        <v>0.19137857447716597</v>
      </c>
      <c r="DC213" s="24">
        <f t="shared" ca="1" si="217"/>
        <v>0.37149958574979275</v>
      </c>
      <c r="DD213" s="24">
        <f t="shared" ca="1" si="218"/>
        <v>0.70172143974960854</v>
      </c>
      <c r="DE213" s="24">
        <f t="shared" ca="1" si="219"/>
        <v>1.2630985915492954</v>
      </c>
      <c r="DF213" s="24">
        <f t="shared" ca="1" si="220"/>
        <v>2.1051643192488254</v>
      </c>
      <c r="DG213" s="24">
        <f t="shared" ca="1" si="221"/>
        <v>3.1577464788732383</v>
      </c>
      <c r="DI213" s="19" cm="1">
        <f t="array" aca="1" ref="DI213" ca="1">MAX(_xlfn._xlws.FILTER(CT213:DG213,CT213:DG213&lt;BP213))</f>
        <v>-9.7161430119176564E-2</v>
      </c>
      <c r="DJ213" s="19" cm="1">
        <f t="array" aca="1" ref="DJ213" ca="1">MIN(_xlfn._xlws.FILTER(CT213:DG213,CT213:DG213&gt;BP213))</f>
        <v>9.7161430119176564E-2</v>
      </c>
      <c r="DK213" s="2" cm="1">
        <f t="array" aca="1" ref="DK213" ca="1">_FV(EH213,"Fechamento anterior",TRUE)</f>
        <v>4.92</v>
      </c>
      <c r="DL213" s="36">
        <f ca="1">(BJ213-DM213)/(DN213-DM213)</f>
        <v>0.45816199241385808</v>
      </c>
      <c r="DM213" s="18">
        <f t="shared" ca="1" si="222"/>
        <v>4.4419657638136512</v>
      </c>
      <c r="DN213" s="18">
        <f t="shared" ca="1" si="223"/>
        <v>5.3980342361863487</v>
      </c>
      <c r="DO213" s="9"/>
      <c r="DP213" s="9"/>
      <c r="DQ213" s="94">
        <v>3.508735332464144E-2</v>
      </c>
      <c r="DR213" s="94">
        <v>3.2523036949756765E-2</v>
      </c>
      <c r="DS213" s="94">
        <v>0.18104323117515697</v>
      </c>
      <c r="DT213" s="94">
        <f t="shared" ca="1" si="200"/>
        <v>0.19432286023835313</v>
      </c>
      <c r="DU213" s="87">
        <f ca="1">(BJ213-CF213)/(CF213-CE213)</f>
        <v>0.42479099593079189</v>
      </c>
      <c r="DV213" s="46"/>
      <c r="DW213" s="43">
        <f>_xlfn.STDEV.P(BF213:BI213)</f>
        <v>0.19421315609401957</v>
      </c>
      <c r="DX213" s="76">
        <f ca="1">BO213-$DT$2</f>
        <v>-8.9700000000000113E-2</v>
      </c>
      <c r="DY213" s="76">
        <f ca="1">BO213-BP213*100</f>
        <v>1.7204000000000002</v>
      </c>
      <c r="DZ213" s="101"/>
      <c r="EA213" s="100">
        <v>0.49870000000000014</v>
      </c>
      <c r="EB213" s="107">
        <v>1.0423</v>
      </c>
      <c r="EC213" s="107">
        <v>-1.2219</v>
      </c>
      <c r="ED213" s="98">
        <f t="shared" ca="1" si="196"/>
        <v>-1.8101000000000003</v>
      </c>
      <c r="EE213" s="66"/>
      <c r="EF213" s="66"/>
      <c r="EH213" s="2" t="e" vm="215">
        <v>#VALUE!</v>
      </c>
      <c r="EJ213" s="10" cm="1">
        <f t="array" aca="1" ref="EJ213" ca="1">_FV(EH213,"Ações em circulação",TRUE)</f>
        <v>152359500</v>
      </c>
      <c r="EK213" s="21">
        <f>VLOOKUP(BK213,Fundamentus!A:U,5,FALSE)</f>
        <v>0.61</v>
      </c>
      <c r="EL213" s="2">
        <f ca="1">(BJ213*EJ213)/EK213</f>
        <v>1218876000</v>
      </c>
      <c r="EM213" s="20">
        <v>-60828905.950819679</v>
      </c>
      <c r="EN213" s="20">
        <f t="shared" ca="1" si="201"/>
        <v>-60334362</v>
      </c>
      <c r="EP213" s="19">
        <f t="shared" ca="1" si="197"/>
        <v>-8.1300813008131634E-3</v>
      </c>
      <c r="EQ213" s="40" t="str">
        <f>IF(VLOOKUP(BK213,Fundamentus!A:U,3,FALSE)&lt;15,"Bom",IF(VLOOKUP(BK213,Fundamentus!A:U,3,FALSE)&gt;15,"Ruim","n/a"))</f>
        <v>Bom</v>
      </c>
      <c r="ER213" s="36" t="str">
        <f>IF(VLOOKUP(BK213,Fundamentus!A:U,4,FALSE)&lt;1,"Baixo",IF(VLOOKUP(BK213,Fundamentus!A:U,4,FALSE)&lt;1.5,"Moderado",IF(VLOOKUP(BK213,Fundamentus!A:U,4,FALSE)&gt;1.5,"Alto","n/a")))</f>
        <v>Baixo</v>
      </c>
      <c r="ES213" s="20" t="str">
        <f>IF(VLOOKUP(BK213,Fundamentus!A:U,8,FALSE)&lt;0,"Risco elevado",IF(VLOOKUP(BK213,Fundamentus!A:U,8,FALSE)&lt;1,"Saudável",IF(VLOOKUP(BK213,Fundamentus!A:U,8,FALSE)&lt;3,"Estável",IF(VLOOKUP(BK213,Fundamentus!A:U,8,FALSE)&gt;3,"Alerta","n/a"))))</f>
        <v>Risco elevado</v>
      </c>
      <c r="ET213" s="36" t="str">
        <f t="shared" si="202"/>
        <v>Ruim</v>
      </c>
      <c r="EU213" s="20" t="str">
        <f>IF(VLOOKUP(BK213,Fundamentus!A:U,12,FALSE)&lt;2,"Subvalorizada",IF(VLOOKUP(BK213,Fundamentus!A:U,12,FALSE)&lt;6,"Muita barata",IF(VLOOKUP(BK213,Fundamentus!A:U,12,FALSE)&lt;6,"Barata",IF(VLOOKUP(BK213,Fundamentus!A:U,12,FALSE)&lt;8,"Atrativa",IF(VLOOKUP(BK213,Fundamentus!A:U,12,FALSE)&gt;8,"Supervalorizada","n/a")))))</f>
        <v>Muita barata</v>
      </c>
      <c r="EW213" s="20" t="str">
        <f>IF(VLOOKUP(BK213,Fundamentus!A:U,17,FALSE)&lt;0.1,"Fraco retorno",IF(VLOOKUP(BK213,Fundamentus!A:U,17,FALSE)&gt;0.1,"Bom retorno","n/a"))</f>
        <v>Fraco retorno</v>
      </c>
      <c r="EX213" s="20" t="str">
        <f>IF(VLOOKUP(BK213,Fundamentus!A:U,16,FALSE)&lt;0.1,"Ineficiente",IF(VLOOKUP(BK213,Fundamentus!A:U,16,FALSE)&gt;0.1,"Eficiente","n/a"))</f>
        <v>Ineficiente</v>
      </c>
      <c r="EY213" s="41" t="str">
        <f>IF(VLOOKUP(BK213,Fundamentus!A:U,16,FALSE)&lt;0.1,"Oper. Ineficiente",IF(VLOOKUP(BK213,Fundamentus!A:U,16,FALSE)&gt;0.1,"Oper.Eficiente","n/a"))</f>
        <v>Oper. Ineficiente</v>
      </c>
      <c r="EZ213" s="42">
        <f>VLOOKUP(BK213,Fundamentus!A:U,14,FALSE)</f>
        <v>-4.9500000000000002E-2</v>
      </c>
      <c r="FA213" s="20" t="str">
        <f>IF(VLOOKUP(BK213,Fundamentus!A:U,21,FALSE)&lt;0,"Negativo",IF(VLOOKUP(BK213,Fundamentus!A:U,21,FALSE)&lt;0.05,"Fraco",IF(VLOOKUP(BK213,Fundamentus!A:U,21,FALSE)&lt;0.1,"Bom",IF(VLOOKUP(BK213,Fundamentus!A:U,21,FALSE)&gt;0.1,"Muito bom","n/a"))))</f>
        <v>Bom</v>
      </c>
      <c r="FC213" s="37" t="str">
        <f>IF(VLOOKUP(BK213,Fundamentus!A:U,15,FALSE)&gt;1,"Bom",IF(VLOOKUP(BK213,Fundamentus!A:U,15,FALSE)&lt;1,"Ruim","n/a"))</f>
        <v>Ruim</v>
      </c>
      <c r="FD213" s="20" t="str">
        <f>IF(VLOOKUP(BK213,Fundamentus!A:U,20,FALSE)&lt;0.5,"Baixa",IF(VLOOKUP(BK213,Fundamentus!A:U,20,FALSE)&lt;1,"Moderada",IF(VLOOKUP(BK213,Fundamentus!A:U,20,FALSE)&lt;2,"Alerta",IF(VLOOKUP(BK213,Fundamentus!A:U,20,FALSE)&gt;2,"Alta","n/a"))))</f>
        <v>Moderada</v>
      </c>
    </row>
    <row r="214" spans="1:161" s="2" customFormat="1" ht="11.25" hidden="1"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8">
        <v>2.38</v>
      </c>
      <c r="BC214" s="62">
        <v>2.34</v>
      </c>
      <c r="BD214" s="62">
        <v>2.46</v>
      </c>
      <c r="BE214" s="62">
        <v>2.5499999999999998</v>
      </c>
      <c r="BF214" s="62">
        <v>2.78</v>
      </c>
      <c r="BG214" s="81">
        <v>2.79</v>
      </c>
      <c r="BH214" s="62">
        <v>2.76</v>
      </c>
      <c r="BI214" s="62">
        <v>2.4900000000000002</v>
      </c>
      <c r="BJ214" s="62" cm="1">
        <f t="array" aca="1" ref="BJ214" ca="1">_FV(EH214,"Preço")</f>
        <v>2.5299999999999998</v>
      </c>
      <c r="BK214" s="83" t="s">
        <v>210</v>
      </c>
      <c r="BL214" s="44" cm="1">
        <f t="array" aca="1" ref="BL214" ca="1">_FV(EH214,"Média de volume",TRUE)</f>
        <v>1384040</v>
      </c>
      <c r="BM214" s="44">
        <v>1223900</v>
      </c>
      <c r="BN214" s="44" cm="1">
        <f t="array" aca="1" ref="BN214" ca="1">_FV(EH214,"Volume")</f>
        <v>461700</v>
      </c>
      <c r="BO214" s="32" cm="1">
        <f t="array" aca="1" ref="BO214" ca="1">_FV(EH214,"Beta")</f>
        <v>2.0447000000000002</v>
      </c>
      <c r="BP214" s="86" cm="1">
        <f t="array" aca="1" ref="BP214" ca="1">_FV(EH214,"Variação (%)",TRUE)</f>
        <v>1.6064000000000002E-2</v>
      </c>
      <c r="BQ214" s="48"/>
      <c r="BR214" s="48"/>
      <c r="BT214" s="20" cm="1">
        <f t="array" aca="1" ref="BT214" ca="1">_FV(EH214,"Baixo")</f>
        <v>2.48</v>
      </c>
      <c r="BU214" s="20" cm="1">
        <f t="array" aca="1" ref="BU214" ca="1">_FV(EH214,"Alto")</f>
        <v>2.56</v>
      </c>
      <c r="BV214" s="32"/>
      <c r="BW214" s="73">
        <f ca="1">SQRT(22.5*(BJ214/VLOOKUP(BK214,Fundamentus!A:U,3,FALSE))*(BJ214/VLOOKUP(BK214,Fundamentus!A:U,4,FALSE)))</f>
        <v>9.2031443109508118</v>
      </c>
      <c r="BY214" s="72">
        <f t="shared" ca="1" si="198"/>
        <v>1.6064257028112285E-2</v>
      </c>
      <c r="BZ214" s="8"/>
      <c r="CA214" s="71">
        <f t="shared" si="205"/>
        <v>1.35</v>
      </c>
      <c r="CB214" s="71">
        <f t="shared" si="199"/>
        <v>2.87</v>
      </c>
      <c r="CC214" s="71">
        <f t="shared" si="206"/>
        <v>1.9978688524590156</v>
      </c>
      <c r="CD214" s="17"/>
      <c r="CE214" s="43">
        <f t="shared" si="203"/>
        <v>2.2308012841124762</v>
      </c>
      <c r="CF214" s="18">
        <f>FORECAST("04/07/2025", BF214:BI214, $BF$5:$BI$5)</f>
        <v>2.4800000000000182</v>
      </c>
      <c r="CG214" s="43">
        <f t="shared" si="204"/>
        <v>2.7291987158875601</v>
      </c>
      <c r="CI214" s="17"/>
      <c r="CJ214" s="20">
        <f>CA214-2*(CB214-CM214)</f>
        <v>8.3333333333333481E-2</v>
      </c>
      <c r="CK214" s="20">
        <f>CM214-(CB214-CA214)</f>
        <v>0.71666666666666679</v>
      </c>
      <c r="CL214" s="20">
        <f>2*CM214-CB214</f>
        <v>1.6033333333333335</v>
      </c>
      <c r="CM214" s="48">
        <f>(CB214+CA214+BI214)/3</f>
        <v>2.2366666666666668</v>
      </c>
      <c r="CN214" s="20">
        <f>2*CM214-CA214</f>
        <v>3.1233333333333335</v>
      </c>
      <c r="CO214" s="20">
        <f>CM214+(CB214-CA214)</f>
        <v>3.7566666666666668</v>
      </c>
      <c r="CP214" s="20">
        <f>CB214+2*(CM214-CA214)</f>
        <v>4.6433333333333335</v>
      </c>
      <c r="CQ214" s="2" cm="1">
        <f t="array" aca="1" ref="CQ214" ca="1">MAX(_xlfn._xlws.FILTER(CJ214:CP214,CJ214:CP214&lt;BJ214))</f>
        <v>2.2366666666666668</v>
      </c>
      <c r="CR214" s="2" cm="1">
        <f t="array" aca="1" ref="CR214" ca="1">MIN(_xlfn._xlws.FILTER($CJ214:$CP214,$CJ214:$CP214&gt;BJ214))</f>
        <v>3.1233333333333335</v>
      </c>
      <c r="CS214" s="19">
        <f t="shared" ca="1" si="207"/>
        <v>0.39642324888226521</v>
      </c>
      <c r="CT214" s="23">
        <f t="shared" ca="1" si="208"/>
        <v>-0.19821162444113261</v>
      </c>
      <c r="CU214" s="23">
        <f t="shared" ca="1" si="209"/>
        <v>-0.13214108296075508</v>
      </c>
      <c r="CV214" s="23">
        <f t="shared" ca="1" si="210"/>
        <v>-7.9284649776453039E-2</v>
      </c>
      <c r="CW214" s="23">
        <f t="shared" ca="1" si="211"/>
        <v>-4.4047027653585022E-2</v>
      </c>
      <c r="CX214" s="23">
        <f t="shared" ca="1" si="212"/>
        <v>-2.3319014640133248E-2</v>
      </c>
      <c r="CY214" s="23">
        <f t="shared" ca="1" si="213"/>
        <v>-1.2012825723705007E-2</v>
      </c>
      <c r="CZ214" s="23">
        <f t="shared" ca="1" si="214"/>
        <v>-6.0988192135733111E-3</v>
      </c>
      <c r="DA214" s="24">
        <f t="shared" ca="1" si="215"/>
        <v>6.0988192135733111E-3</v>
      </c>
      <c r="DB214" s="24">
        <f t="shared" ca="1" si="216"/>
        <v>1.2012825723705007E-2</v>
      </c>
      <c r="DC214" s="24">
        <f t="shared" ca="1" si="217"/>
        <v>2.3319014640133248E-2</v>
      </c>
      <c r="DD214" s="24">
        <f t="shared" ca="1" si="218"/>
        <v>4.4047027653585022E-2</v>
      </c>
      <c r="DE214" s="24">
        <f t="shared" ca="1" si="219"/>
        <v>7.9284649776453039E-2</v>
      </c>
      <c r="DF214" s="24">
        <f t="shared" ca="1" si="220"/>
        <v>0.13214108296075508</v>
      </c>
      <c r="DG214" s="24">
        <f t="shared" ca="1" si="221"/>
        <v>0.19821162444113261</v>
      </c>
      <c r="DI214" s="19" cm="1">
        <f t="array" aca="1" ref="DI214" ca="1">MAX(_xlfn._xlws.FILTER(CT214:DG214,CT214:DG214&lt;BP214))</f>
        <v>1.2012825723705007E-2</v>
      </c>
      <c r="DJ214" s="19" cm="1">
        <f t="array" aca="1" ref="DJ214" ca="1">MIN(_xlfn._xlws.FILTER(CT214:DG214,CT214:DG214&gt;BP214))</f>
        <v>2.3319014640133248E-2</v>
      </c>
      <c r="DK214" s="2" cm="1">
        <f t="array" aca="1" ref="DK214" ca="1">_FV(EH214,"Fechamento anterior",TRUE)</f>
        <v>2.4900000000000002</v>
      </c>
      <c r="DL214" s="36">
        <f ca="1">(BJ214-DM214)/(DN214-DM214)</f>
        <v>0.35833748527945103</v>
      </c>
      <c r="DM214" s="18">
        <f t="shared" ca="1" si="222"/>
        <v>2.5199119360520257</v>
      </c>
      <c r="DN214" s="18">
        <f t="shared" ca="1" si="223"/>
        <v>2.5480643464539319</v>
      </c>
      <c r="DO214" s="9"/>
      <c r="DP214" s="9"/>
      <c r="DQ214" s="94">
        <v>1.2228817671446063E-2</v>
      </c>
      <c r="DR214" s="94">
        <v>1.3193012910925464E-2</v>
      </c>
      <c r="DS214" s="94">
        <v>3.7533682041527974E-2</v>
      </c>
      <c r="DT214" s="94">
        <f t="shared" ca="1" si="200"/>
        <v>1.1306188916428241E-2</v>
      </c>
      <c r="DU214" s="87">
        <f ca="1">(BJ214-CF214)/(CF214-CE214)</f>
        <v>0.20064308847620846</v>
      </c>
      <c r="DV214" s="46"/>
      <c r="DW214" s="43">
        <f>_xlfn.STDEV.P(BF214:BI214)</f>
        <v>0.12459935794377099</v>
      </c>
      <c r="DX214" s="76">
        <f ca="1">BO214-$DT$2</f>
        <v>1.0476000000000001</v>
      </c>
      <c r="DY214" s="76">
        <f ca="1">BO214-BP214*100</f>
        <v>0.43829999999999991</v>
      </c>
      <c r="DZ214" s="101"/>
      <c r="EA214" s="100">
        <v>1.6501000000000001</v>
      </c>
      <c r="EB214" s="107">
        <v>-6.7580999999999989</v>
      </c>
      <c r="EC214" s="107">
        <v>-2.9319000000000006</v>
      </c>
      <c r="ED214" s="98">
        <f t="shared" ca="1" si="196"/>
        <v>0.60930000000000017</v>
      </c>
      <c r="EE214" s="66"/>
      <c r="EF214" s="66"/>
      <c r="EH214" s="2" t="e" vm="216">
        <v>#VALUE!</v>
      </c>
      <c r="EJ214" s="10" cm="1">
        <f t="array" aca="1" ref="EJ214" ca="1">_FV(EH214,"Ações em circulação",TRUE)</f>
        <v>133851100</v>
      </c>
      <c r="EK214" s="21">
        <f>VLOOKUP(BK214,Fundamentus!A:U,5,FALSE)</f>
        <v>0.29299999999999998</v>
      </c>
      <c r="EL214" s="2">
        <f ca="1">(BJ214*EJ214)/EK214</f>
        <v>1155779122.8668942</v>
      </c>
      <c r="EM214" s="20">
        <v>147762020.9764505</v>
      </c>
      <c r="EN214" s="20">
        <f t="shared" ca="1" si="201"/>
        <v>150135708.06040955</v>
      </c>
      <c r="EP214" s="19">
        <f t="shared" ca="1" si="197"/>
        <v>1.6064257028112428E-2</v>
      </c>
      <c r="EQ214" s="40" t="str">
        <f>IF(VLOOKUP(BK214,Fundamentus!A:U,3,FALSE)&lt;15,"Bom",IF(VLOOKUP(BK214,Fundamentus!A:U,3,FALSE)&gt;15,"Ruim","n/a"))</f>
        <v>Bom</v>
      </c>
      <c r="ER214" s="36" t="str">
        <f>IF(VLOOKUP(BK214,Fundamentus!A:U,4,FALSE)&lt;1,"Baixo",IF(VLOOKUP(BK214,Fundamentus!A:U,4,FALSE)&lt;1.5,"Moderado",IF(VLOOKUP(BK214,Fundamentus!A:U,4,FALSE)&gt;1.5,"Alto","n/a")))</f>
        <v>Baixo</v>
      </c>
      <c r="ES214" s="20" t="str">
        <f>IF(VLOOKUP(BK214,Fundamentus!A:U,8,FALSE)&lt;0,"Risco elevado",IF(VLOOKUP(BK214,Fundamentus!A:U,8,FALSE)&lt;1,"Saudável",IF(VLOOKUP(BK214,Fundamentus!A:U,8,FALSE)&lt;3,"Estável",IF(VLOOKUP(BK214,Fundamentus!A:U,8,FALSE)&gt;3,"Alerta","n/a"))))</f>
        <v>Saudável</v>
      </c>
      <c r="ET214" s="36" t="str">
        <f t="shared" si="202"/>
        <v>Ruim</v>
      </c>
      <c r="EU214" s="20" t="str">
        <f>IF(VLOOKUP(BK214,Fundamentus!A:U,12,FALSE)&lt;2,"Subvalorizada",IF(VLOOKUP(BK214,Fundamentus!A:U,12,FALSE)&lt;6,"Muita barata",IF(VLOOKUP(BK214,Fundamentus!A:U,12,FALSE)&lt;6,"Barata",IF(VLOOKUP(BK214,Fundamentus!A:U,12,FALSE)&lt;8,"Atrativa",IF(VLOOKUP(BK214,Fundamentus!A:U,12,FALSE)&gt;8,"Supervalorizada","n/a")))))</f>
        <v>Atrativa</v>
      </c>
      <c r="EW214" s="20" t="str">
        <f>IF(VLOOKUP(BK214,Fundamentus!A:U,17,FALSE)&lt;0.1,"Fraco retorno",IF(VLOOKUP(BK214,Fundamentus!A:U,17,FALSE)&gt;0.1,"Bom retorno","n/a"))</f>
        <v>Fraco retorno</v>
      </c>
      <c r="EX214" s="20" t="str">
        <f>IF(VLOOKUP(BK214,Fundamentus!A:U,16,FALSE)&lt;0.1,"Ineficiente",IF(VLOOKUP(BK214,Fundamentus!A:U,16,FALSE)&gt;0.1,"Eficiente","n/a"))</f>
        <v>Ineficiente</v>
      </c>
      <c r="EY214" s="41" t="str">
        <f>IF(VLOOKUP(BK214,Fundamentus!A:U,16,FALSE)&lt;0.1,"Oper. Ineficiente",IF(VLOOKUP(BK214,Fundamentus!A:U,16,FALSE)&gt;0.1,"Oper.Eficiente","n/a"))</f>
        <v>Oper. Ineficiente</v>
      </c>
      <c r="EZ214" s="42">
        <f>VLOOKUP(BK214,Fundamentus!A:U,14,FALSE)</f>
        <v>0.12989999999999999</v>
      </c>
      <c r="FA214" s="20" t="str">
        <f>IF(VLOOKUP(BK214,Fundamentus!A:U,21,FALSE)&lt;0,"Negativo",IF(VLOOKUP(BK214,Fundamentus!A:U,21,FALSE)&lt;0.05,"Fraco",IF(VLOOKUP(BK214,Fundamentus!A:U,21,FALSE)&lt;0.1,"Bom",IF(VLOOKUP(BK214,Fundamentus!A:U,21,FALSE)&gt;0.1,"Muito bom","n/a"))))</f>
        <v>Bom</v>
      </c>
      <c r="FC214" s="37" t="str">
        <f>IF(VLOOKUP(BK214,Fundamentus!A:U,15,FALSE)&gt;1,"Bom",IF(VLOOKUP(BK214,Fundamentus!A:U,15,FALSE)&lt;1,"Ruim","n/a"))</f>
        <v>Bom</v>
      </c>
      <c r="FD214" s="20" t="str">
        <f>IF(VLOOKUP(BK214,Fundamentus!A:U,20,FALSE)&lt;0.5,"Baixa",IF(VLOOKUP(BK214,Fundamentus!A:U,20,FALSE)&lt;1,"Moderada",IF(VLOOKUP(BK214,Fundamentus!A:U,20,FALSE)&lt;2,"Alerta",IF(VLOOKUP(BK214,Fundamentus!A:U,20,FALSE)&gt;2,"Alta","n/a"))))</f>
        <v>Alerta</v>
      </c>
    </row>
    <row r="215" spans="1:161" s="2" customFormat="1" ht="11.25" hidden="1"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8">
        <v>20.97</v>
      </c>
      <c r="BC215" s="62">
        <v>21.05</v>
      </c>
      <c r="BD215" s="62">
        <v>20.69</v>
      </c>
      <c r="BE215" s="62">
        <v>21.99</v>
      </c>
      <c r="BF215" s="62">
        <v>20.59</v>
      </c>
      <c r="BG215" s="81">
        <v>19.14</v>
      </c>
      <c r="BH215" s="62">
        <v>18.98</v>
      </c>
      <c r="BI215" s="62">
        <v>17.510000000000002</v>
      </c>
      <c r="BJ215" s="62" cm="1">
        <f t="array" aca="1" ref="BJ215" ca="1">_FV(EH215,"Preço")</f>
        <v>17.149999999999999</v>
      </c>
      <c r="BK215" s="83" t="s">
        <v>211</v>
      </c>
      <c r="BL215" s="44" cm="1">
        <f t="array" aca="1" ref="BL215" ca="1">_FV(EH215,"Média de volume",TRUE)</f>
        <v>1940</v>
      </c>
      <c r="BM215" s="44">
        <v>3400</v>
      </c>
      <c r="BN215" s="44" cm="1">
        <f t="array" aca="1" ref="BN215" ca="1">_FV(EH215,"Volume")</f>
        <v>500</v>
      </c>
      <c r="BO215" s="32" cm="1">
        <f t="array" aca="1" ref="BO215" ca="1">_FV(EH215,"Beta")</f>
        <v>0.7762</v>
      </c>
      <c r="BP215" s="86" cm="1">
        <f t="array" aca="1" ref="BP215" ca="1">_FV(EH215,"Variação (%)",TRUE)</f>
        <v>-2.0560000000000002E-2</v>
      </c>
      <c r="BQ215" s="48"/>
      <c r="BR215" s="48"/>
      <c r="BT215" s="20" cm="1">
        <f t="array" aca="1" ref="BT215" ca="1">_FV(EH215,"Baixo")</f>
        <v>17.149999999999999</v>
      </c>
      <c r="BU215" s="20" cm="1">
        <f t="array" aca="1" ref="BU215" ca="1">_FV(EH215,"Alto")</f>
        <v>17.260000000000002</v>
      </c>
      <c r="BV215" s="32"/>
      <c r="BW215" s="73" t="e">
        <f ca="1">SQRT(22.5*(BJ215/VLOOKUP(BK215,Fundamentus!A:U,3,FALSE))*(BJ215/VLOOKUP(BK215,Fundamentus!A:U,4,FALSE)))</f>
        <v>#NUM!</v>
      </c>
      <c r="BY215" s="72">
        <f t="shared" ca="1" si="198"/>
        <v>-2.0559680182752883E-2</v>
      </c>
      <c r="BZ215" s="8"/>
      <c r="CA215" s="71">
        <f t="shared" si="205"/>
        <v>17.510000000000002</v>
      </c>
      <c r="CB215" s="71">
        <f t="shared" si="199"/>
        <v>32.47</v>
      </c>
      <c r="CC215" s="71">
        <f t="shared" si="206"/>
        <v>23.97368852459017</v>
      </c>
      <c r="CD215" s="17"/>
      <c r="CE215" s="43">
        <f t="shared" si="203"/>
        <v>14.524151541258231</v>
      </c>
      <c r="CF215" s="18">
        <f>FORECAST("04/07/2025", BF215:BI215, $BF$5:$BI$5)</f>
        <v>16.705000000000837</v>
      </c>
      <c r="CG215" s="43">
        <f t="shared" si="204"/>
        <v>18.885848458743443</v>
      </c>
      <c r="CI215" s="17"/>
      <c r="CJ215" s="20">
        <f>CA215-2*(CB215-CM215)</f>
        <v>-2.4366666666666568</v>
      </c>
      <c r="CK215" s="20">
        <f>CM215-(CB215-CA215)</f>
        <v>7.5366666666666724</v>
      </c>
      <c r="CL215" s="20">
        <f>2*CM215-CB215</f>
        <v>12.523333333333341</v>
      </c>
      <c r="CM215" s="48">
        <f>(CB215+CA215+BI215)/3</f>
        <v>22.49666666666667</v>
      </c>
      <c r="CN215" s="20">
        <f>2*CM215-CA215</f>
        <v>27.483333333333338</v>
      </c>
      <c r="CO215" s="20">
        <f>CM215+(CB215-CA215)</f>
        <v>37.456666666666663</v>
      </c>
      <c r="CP215" s="20">
        <f>CB215+2*(CM215-CA215)</f>
        <v>42.443333333333335</v>
      </c>
      <c r="CQ215" s="2" cm="1">
        <f t="array" aca="1" ref="CQ215" ca="1">MAX(_xlfn._xlws.FILTER(CJ215:CP215,CJ215:CP215&lt;BJ215))</f>
        <v>12.523333333333341</v>
      </c>
      <c r="CR215" s="2" cm="1">
        <f t="array" aca="1" ref="CR215" ca="1">MIN(_xlfn._xlws.FILTER($CJ215:$CP215,$CJ215:$CP215&gt;BJ215))</f>
        <v>22.49666666666667</v>
      </c>
      <c r="CS215" s="19">
        <f t="shared" ca="1" si="207"/>
        <v>0.79638009049773673</v>
      </c>
      <c r="CT215" s="23">
        <f t="shared" ca="1" si="208"/>
        <v>-0.39819004524886836</v>
      </c>
      <c r="CU215" s="23">
        <f t="shared" ca="1" si="209"/>
        <v>-0.26546003016591224</v>
      </c>
      <c r="CV215" s="23">
        <f t="shared" ca="1" si="210"/>
        <v>-0.15927601809954733</v>
      </c>
      <c r="CW215" s="23">
        <f t="shared" ca="1" si="211"/>
        <v>-8.8486676721970747E-2</v>
      </c>
      <c r="CX215" s="23">
        <f t="shared" ca="1" si="212"/>
        <v>-4.6845887676337454E-2</v>
      </c>
      <c r="CY215" s="23">
        <f t="shared" ca="1" si="213"/>
        <v>-2.413273001508293E-2</v>
      </c>
      <c r="CZ215" s="23">
        <f t="shared" ca="1" si="214"/>
        <v>-1.2252001392272872E-2</v>
      </c>
      <c r="DA215" s="24">
        <f t="shared" ca="1" si="215"/>
        <v>1.2252001392272872E-2</v>
      </c>
      <c r="DB215" s="24">
        <f t="shared" ca="1" si="216"/>
        <v>2.413273001508293E-2</v>
      </c>
      <c r="DC215" s="24">
        <f t="shared" ca="1" si="217"/>
        <v>4.6845887676337454E-2</v>
      </c>
      <c r="DD215" s="24">
        <f t="shared" ca="1" si="218"/>
        <v>8.8486676721970747E-2</v>
      </c>
      <c r="DE215" s="24">
        <f t="shared" ca="1" si="219"/>
        <v>0.15927601809954733</v>
      </c>
      <c r="DF215" s="24">
        <f t="shared" ca="1" si="220"/>
        <v>0.26546003016591224</v>
      </c>
      <c r="DG215" s="24">
        <f t="shared" ca="1" si="221"/>
        <v>0.39819004524886836</v>
      </c>
      <c r="DI215" s="19" cm="1">
        <f t="array" aca="1" ref="DI215" ca="1">MAX(_xlfn._xlws.FILTER(CT215:DG215,CT215:DG215&lt;BP215))</f>
        <v>-2.413273001508293E-2</v>
      </c>
      <c r="DJ215" s="19" cm="1">
        <f t="array" aca="1" ref="DJ215" ca="1">MIN(_xlfn._xlws.FILTER(CT215:DG215,CT215:DG215&gt;BP215))</f>
        <v>-1.2252001392272872E-2</v>
      </c>
      <c r="DK215" s="2" cm="1">
        <f t="array" aca="1" ref="DK215" ca="1">_FV(EH215,"Fechamento anterior",TRUE)</f>
        <v>17.510000000000002</v>
      </c>
      <c r="DL215" s="36">
        <f ca="1">(BJ215-DM215)/(DN215-DM215)</f>
        <v>0.30074332524270458</v>
      </c>
      <c r="DM215" s="18">
        <f t="shared" ca="1" si="222"/>
        <v>17.087435897435899</v>
      </c>
      <c r="DN215" s="18">
        <f t="shared" ca="1" si="223"/>
        <v>17.295467455621303</v>
      </c>
      <c r="DO215" s="9"/>
      <c r="DP215" s="9"/>
      <c r="DQ215" s="94">
        <v>1.3992799641527214E-2</v>
      </c>
      <c r="DR215" s="94">
        <v>2.0164614381962331E-2</v>
      </c>
      <c r="DS215" s="94">
        <v>1.888436769905464E-2</v>
      </c>
      <c r="DT215" s="94">
        <f t="shared" ca="1" si="200"/>
        <v>1.1880728622810057E-2</v>
      </c>
      <c r="DU215" s="87">
        <f ca="1">(BJ215-CF215)/(CF215-CE215)</f>
        <v>0.20404902422964863</v>
      </c>
      <c r="DV215" s="46"/>
      <c r="DW215" s="43">
        <f>_xlfn.STDEV.P(BF215:BI215)</f>
        <v>1.0904242293713025</v>
      </c>
      <c r="DX215" s="76">
        <f ca="1">BO215-$DT$2</f>
        <v>-0.2209000000000001</v>
      </c>
      <c r="DY215" s="76">
        <f ca="1">BO215-BP215*100</f>
        <v>2.8322000000000003</v>
      </c>
      <c r="DZ215" s="101"/>
      <c r="EA215" s="100">
        <v>1.1345999999999998</v>
      </c>
      <c r="EB215" s="107">
        <v>-0.41609999999999969</v>
      </c>
      <c r="EC215" s="107">
        <v>-1.2267999999999999</v>
      </c>
      <c r="ED215" s="98">
        <f t="shared" ca="1" si="196"/>
        <v>-3.0531000000000006</v>
      </c>
      <c r="EE215" s="66"/>
      <c r="EF215" s="66"/>
      <c r="EH215" s="2" t="e" vm="217">
        <v>#VALUE!</v>
      </c>
      <c r="EJ215" s="10" cm="1">
        <f t="array" aca="1" ref="EJ215" ca="1">_FV(EH215,"Ações em circulação",TRUE)</f>
        <v>29018750</v>
      </c>
      <c r="EK215" s="21">
        <f>VLOOKUP(BK215,Fundamentus!A:U,5,FALSE)</f>
        <v>0.78</v>
      </c>
      <c r="EL215" s="2">
        <f ca="1">(BJ215*EJ215)/EK215</f>
        <v>638040464.74358964</v>
      </c>
      <c r="EM215" s="20">
        <v>-107551709.47916667</v>
      </c>
      <c r="EN215" s="20">
        <f t="shared" ca="1" si="201"/>
        <v>-105340480.72916664</v>
      </c>
      <c r="EP215" s="19">
        <f t="shared" ca="1" si="197"/>
        <v>-2.0559680182753004E-2</v>
      </c>
      <c r="EQ215" s="40" t="str">
        <f>IF(VLOOKUP(BK215,Fundamentus!A:U,3,FALSE)&lt;15,"Bom",IF(VLOOKUP(BK215,Fundamentus!A:U,3,FALSE)&gt;15,"Ruim","n/a"))</f>
        <v>Bom</v>
      </c>
      <c r="ER215" s="36" t="str">
        <f>IF(VLOOKUP(BK215,Fundamentus!A:U,4,FALSE)&lt;1,"Baixo",IF(VLOOKUP(BK215,Fundamentus!A:U,4,FALSE)&lt;1.5,"Moderado",IF(VLOOKUP(BK215,Fundamentus!A:U,4,FALSE)&gt;1.5,"Alto","n/a")))</f>
        <v>Baixo</v>
      </c>
      <c r="ES215" s="20" t="str">
        <f>IF(VLOOKUP(BK215,Fundamentus!A:U,8,FALSE)&lt;0,"Risco elevado",IF(VLOOKUP(BK215,Fundamentus!A:U,8,FALSE)&lt;1,"Saudável",IF(VLOOKUP(BK215,Fundamentus!A:U,8,FALSE)&lt;3,"Estável",IF(VLOOKUP(BK215,Fundamentus!A:U,8,FALSE)&gt;3,"Alerta","n/a"))))</f>
        <v>Estável</v>
      </c>
      <c r="ET215" s="36" t="str">
        <f t="shared" si="202"/>
        <v>Ruim</v>
      </c>
      <c r="EU215" s="20" t="str">
        <f>IF(VLOOKUP(BK215,Fundamentus!A:U,12,FALSE)&lt;2,"Subvalorizada",IF(VLOOKUP(BK215,Fundamentus!A:U,12,FALSE)&lt;6,"Muita barata",IF(VLOOKUP(BK215,Fundamentus!A:U,12,FALSE)&lt;6,"Barata",IF(VLOOKUP(BK215,Fundamentus!A:U,12,FALSE)&lt;8,"Atrativa",IF(VLOOKUP(BK215,Fundamentus!A:U,12,FALSE)&gt;8,"Supervalorizada","n/a")))))</f>
        <v>Subvalorizada</v>
      </c>
      <c r="EW215" s="20" t="str">
        <f>IF(VLOOKUP(BK215,Fundamentus!A:U,17,FALSE)&lt;0.1,"Fraco retorno",IF(VLOOKUP(BK215,Fundamentus!A:U,17,FALSE)&gt;0.1,"Bom retorno","n/a"))</f>
        <v>Fraco retorno</v>
      </c>
      <c r="EX215" s="20" t="str">
        <f>IF(VLOOKUP(BK215,Fundamentus!A:U,16,FALSE)&lt;0.1,"Ineficiente",IF(VLOOKUP(BK215,Fundamentus!A:U,16,FALSE)&gt;0.1,"Eficiente","n/a"))</f>
        <v>Ineficiente</v>
      </c>
      <c r="EY215" s="41" t="str">
        <f>IF(VLOOKUP(BK215,Fundamentus!A:U,16,FALSE)&lt;0.1,"Oper. Ineficiente",IF(VLOOKUP(BK215,Fundamentus!A:U,16,FALSE)&gt;0.1,"Oper.Eficiente","n/a"))</f>
        <v>Oper. Ineficiente</v>
      </c>
      <c r="EZ215" s="42">
        <f>VLOOKUP(BK215,Fundamentus!A:U,14,FALSE)</f>
        <v>-0.1651</v>
      </c>
      <c r="FA215" s="20" t="str">
        <f>IF(VLOOKUP(BK215,Fundamentus!A:U,21,FALSE)&lt;0,"Negativo",IF(VLOOKUP(BK215,Fundamentus!A:U,21,FALSE)&lt;0.05,"Fraco",IF(VLOOKUP(BK215,Fundamentus!A:U,21,FALSE)&lt;0.1,"Bom",IF(VLOOKUP(BK215,Fundamentus!A:U,21,FALSE)&gt;0.1,"Muito bom","n/a"))))</f>
        <v>Negativo</v>
      </c>
      <c r="FC215" s="37" t="str">
        <f>IF(VLOOKUP(BK215,Fundamentus!A:U,15,FALSE)&gt;1,"Bom",IF(VLOOKUP(BK215,Fundamentus!A:U,15,FALSE)&lt;1,"Ruim","n/a"))</f>
        <v>Bom</v>
      </c>
      <c r="FD215" s="20" t="str">
        <f>IF(VLOOKUP(BK215,Fundamentus!A:U,20,FALSE)&lt;0.5,"Baixa",IF(VLOOKUP(BK215,Fundamentus!A:U,20,FALSE)&lt;1,"Moderada",IF(VLOOKUP(BK215,Fundamentus!A:U,20,FALSE)&lt;2,"Alerta",IF(VLOOKUP(BK215,Fundamentus!A:U,20,FALSE)&gt;2,"Alta","n/a"))))</f>
        <v>Baixa</v>
      </c>
    </row>
    <row r="216" spans="1:161" s="2" customFormat="1" ht="11.25" hidden="1"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8">
        <v>22.61</v>
      </c>
      <c r="BC216" s="62">
        <v>24.7</v>
      </c>
      <c r="BD216" s="62">
        <v>24.7</v>
      </c>
      <c r="BE216" s="62">
        <v>25.55</v>
      </c>
      <c r="BF216" s="62">
        <v>25.45</v>
      </c>
      <c r="BG216" s="81">
        <v>25.51</v>
      </c>
      <c r="BH216" s="62">
        <v>25.5</v>
      </c>
      <c r="BI216" s="62">
        <v>25.4</v>
      </c>
      <c r="BJ216" s="62" cm="1">
        <f t="array" aca="1" ref="BJ216" ca="1">_FV(EH216,"Preço")</f>
        <v>25.41</v>
      </c>
      <c r="BK216" s="83" t="s">
        <v>212</v>
      </c>
      <c r="BL216" s="44" cm="1">
        <f t="array" aca="1" ref="BL216" ca="1">_FV(EH216,"Média de volume",TRUE)</f>
        <v>13170</v>
      </c>
      <c r="BM216" s="44">
        <v>10900</v>
      </c>
      <c r="BN216" s="44" cm="1">
        <f t="array" aca="1" ref="BN216" ca="1">_FV(EH216,"Volume")</f>
        <v>7900</v>
      </c>
      <c r="BO216" s="32" cm="1">
        <f t="array" aca="1" ref="BO216" ca="1">_FV(EH216,"Beta")</f>
        <v>0.91690000000000005</v>
      </c>
      <c r="BP216" s="86" cm="1">
        <f t="array" aca="1" ref="BP216" ca="1">_FV(EH216,"Variação (%)",TRUE)</f>
        <v>3.9370000000000003E-4</v>
      </c>
      <c r="BQ216" s="48"/>
      <c r="BR216" s="48"/>
      <c r="BT216" s="20" cm="1">
        <f t="array" aca="1" ref="BT216" ca="1">_FV(EH216,"Baixo")</f>
        <v>25.11</v>
      </c>
      <c r="BU216" s="20" cm="1">
        <f t="array" aca="1" ref="BU216" ca="1">_FV(EH216,"Alto")</f>
        <v>25.59</v>
      </c>
      <c r="BV216" s="32"/>
      <c r="BW216" s="73">
        <f ca="1">SQRT(22.5*(BJ216/VLOOKUP(BK216,Fundamentus!A:U,3,FALSE))*(BJ216/VLOOKUP(BK216,Fundamentus!A:U,4,FALSE)))</f>
        <v>11.860194309652568</v>
      </c>
      <c r="BY216" s="72">
        <f t="shared" ca="1" si="198"/>
        <v>3.9370078740163638E-4</v>
      </c>
      <c r="BZ216" s="8"/>
      <c r="CA216" s="71">
        <f t="shared" si="205"/>
        <v>19.96</v>
      </c>
      <c r="CB216" s="71">
        <f t="shared" si="199"/>
        <v>41.69</v>
      </c>
      <c r="CC216" s="71">
        <f t="shared" si="206"/>
        <v>28.165491803278698</v>
      </c>
      <c r="CD216" s="17"/>
      <c r="CE216" s="43">
        <f t="shared" si="203"/>
        <v>25.337250356126088</v>
      </c>
      <c r="CF216" s="18">
        <f>FORECAST("04/07/2025", BF216:BI216, $BF$5:$BI$5)</f>
        <v>25.425000000000011</v>
      </c>
      <c r="CG216" s="43">
        <f t="shared" si="204"/>
        <v>25.512749643873935</v>
      </c>
      <c r="CI216" s="17"/>
      <c r="CJ216" s="20">
        <f>CA216-2*(CB216-CM216)</f>
        <v>-5.3866666666666632</v>
      </c>
      <c r="CK216" s="20">
        <f>CM216-(CB216-CA216)</f>
        <v>7.2866666666666688</v>
      </c>
      <c r="CL216" s="20">
        <f>2*CM216-CB216</f>
        <v>16.343333333333334</v>
      </c>
      <c r="CM216" s="48">
        <f>(CB216+CA216+BI216)/3</f>
        <v>29.016666666666666</v>
      </c>
      <c r="CN216" s="20">
        <f>2*CM216-CA216</f>
        <v>38.073333333333331</v>
      </c>
      <c r="CO216" s="20">
        <f>CM216+(CB216-CA216)</f>
        <v>50.746666666666663</v>
      </c>
      <c r="CP216" s="20">
        <f>CB216+2*(CM216-CA216)</f>
        <v>59.803333333333327</v>
      </c>
      <c r="CQ216" s="2" cm="1">
        <f t="array" aca="1" ref="CQ216" ca="1">MAX(_xlfn._xlws.FILTER(CJ216:CP216,CJ216:CP216&lt;BJ216))</f>
        <v>16.343333333333334</v>
      </c>
      <c r="CR216" s="2" cm="1">
        <f t="array" aca="1" ref="CR216" ca="1">MIN(_xlfn._xlws.FILTER($CJ216:$CP216,$CJ216:$CP216&gt;BJ216))</f>
        <v>29.016666666666666</v>
      </c>
      <c r="CS216" s="19">
        <f t="shared" ca="1" si="207"/>
        <v>0.77544360595553741</v>
      </c>
      <c r="CT216" s="23">
        <f t="shared" ca="1" si="208"/>
        <v>-0.3877218029777687</v>
      </c>
      <c r="CU216" s="23">
        <f t="shared" ca="1" si="209"/>
        <v>-0.25848120198517915</v>
      </c>
      <c r="CV216" s="23">
        <f t="shared" ca="1" si="210"/>
        <v>-0.15508872119110748</v>
      </c>
      <c r="CW216" s="23">
        <f t="shared" ca="1" si="211"/>
        <v>-8.616040066172638E-2</v>
      </c>
      <c r="CX216" s="23">
        <f t="shared" ca="1" si="212"/>
        <v>-4.5614329762090434E-2</v>
      </c>
      <c r="CY216" s="23">
        <f t="shared" ca="1" si="213"/>
        <v>-2.3498291089561741E-2</v>
      </c>
      <c r="CZ216" s="23">
        <f t="shared" ca="1" si="214"/>
        <v>-1.192990163008519E-2</v>
      </c>
      <c r="DA216" s="24">
        <f t="shared" ca="1" si="215"/>
        <v>1.192990163008519E-2</v>
      </c>
      <c r="DB216" s="24">
        <f t="shared" ca="1" si="216"/>
        <v>2.3498291089561741E-2</v>
      </c>
      <c r="DC216" s="24">
        <f t="shared" ca="1" si="217"/>
        <v>4.5614329762090434E-2</v>
      </c>
      <c r="DD216" s="24">
        <f t="shared" ca="1" si="218"/>
        <v>8.616040066172638E-2</v>
      </c>
      <c r="DE216" s="24">
        <f t="shared" ca="1" si="219"/>
        <v>0.15508872119110748</v>
      </c>
      <c r="DF216" s="24">
        <f t="shared" ca="1" si="220"/>
        <v>0.25848120198517915</v>
      </c>
      <c r="DG216" s="24">
        <f t="shared" ca="1" si="221"/>
        <v>0.3877218029777687</v>
      </c>
      <c r="DI216" s="19" cm="1">
        <f t="array" aca="1" ref="DI216" ca="1">MAX(_xlfn._xlws.FILTER(CT216:DG216,CT216:DG216&lt;BP216))</f>
        <v>-1.192990163008519E-2</v>
      </c>
      <c r="DJ216" s="19" cm="1">
        <f t="array" aca="1" ref="DJ216" ca="1">MIN(_xlfn._xlws.FILTER(CT216:DG216,CT216:DG216&gt;BP216))</f>
        <v>1.192990163008519E-2</v>
      </c>
      <c r="DK216" s="2" cm="1">
        <f t="array" aca="1" ref="DK216" ca="1">_FV(EH216,"Fechamento anterior",TRUE)</f>
        <v>25.4</v>
      </c>
      <c r="DL216" s="36">
        <f ca="1">(BJ216-DM216)/(DN216-DM216)</f>
        <v>0.51650058816951128</v>
      </c>
      <c r="DM216" s="18">
        <f t="shared" ca="1" si="222"/>
        <v>25.096980498595833</v>
      </c>
      <c r="DN216" s="18">
        <f t="shared" ca="1" si="223"/>
        <v>25.703019501404164</v>
      </c>
      <c r="DO216" s="9"/>
      <c r="DP216" s="9"/>
      <c r="DQ216" s="94">
        <v>3.5130806193272815E-2</v>
      </c>
      <c r="DR216" s="94">
        <v>3.5130806193272815E-2</v>
      </c>
      <c r="DS216" s="94">
        <v>2.3684498242873879E-2</v>
      </c>
      <c r="DT216" s="94">
        <f t="shared" ca="1" si="200"/>
        <v>2.3859803260170381E-2</v>
      </c>
      <c r="DU216" s="87">
        <f ca="1">(BJ216-CF216)/(CF216-CE216)</f>
        <v>-0.17094086468958025</v>
      </c>
      <c r="DV216" s="46"/>
      <c r="DW216" s="43">
        <f>_xlfn.STDEV.P(BF216:BI216)</f>
        <v>4.38748219369616E-2</v>
      </c>
      <c r="DX216" s="76">
        <f ca="1">BO216-$DT$2</f>
        <v>-8.0200000000000049E-2</v>
      </c>
      <c r="DY216" s="76">
        <f ca="1">BO216-BP216*100</f>
        <v>0.87753000000000003</v>
      </c>
      <c r="DZ216" s="101"/>
      <c r="EA216" s="100">
        <v>0.25965000000000005</v>
      </c>
      <c r="EB216" s="107">
        <v>0.85129999999999995</v>
      </c>
      <c r="EC216" s="107">
        <v>-1.5599999999999836E-2</v>
      </c>
      <c r="ED216" s="98">
        <f t="shared" ca="1" si="196"/>
        <v>-0.95773000000000008</v>
      </c>
      <c r="EE216" s="66"/>
      <c r="EF216" s="66"/>
      <c r="EH216" s="2" t="e" vm="218">
        <v>#VALUE!</v>
      </c>
      <c r="EJ216" s="10" cm="1">
        <f t="array" aca="1" ref="EJ216" ca="1">_FV(EH216,"Ações em circulação",TRUE)</f>
        <v>107306500</v>
      </c>
      <c r="EK216" s="21">
        <f>VLOOKUP(BK216,Fundamentus!A:U,5,FALSE)</f>
        <v>0.95699999999999996</v>
      </c>
      <c r="EL216" s="2">
        <f ca="1">(BJ216*EJ216)/EK216</f>
        <v>2849172586.2068968</v>
      </c>
      <c r="EM216" s="20">
        <v>71486087.784743994</v>
      </c>
      <c r="EN216" s="20">
        <f t="shared" ca="1" si="201"/>
        <v>71514231.913793117</v>
      </c>
      <c r="EP216" s="19">
        <f t="shared" ca="1" si="197"/>
        <v>3.9370078740175174E-4</v>
      </c>
      <c r="EQ216" s="40" t="str">
        <f>IF(VLOOKUP(BK216,Fundamentus!A:U,3,FALSE)&lt;15,"Bom",IF(VLOOKUP(BK216,Fundamentus!A:U,3,FALSE)&gt;15,"Ruim","n/a"))</f>
        <v>Ruim</v>
      </c>
      <c r="ER216" s="36" t="str">
        <f>IF(VLOOKUP(BK216,Fundamentus!A:U,4,FALSE)&lt;1,"Baixo",IF(VLOOKUP(BK216,Fundamentus!A:U,4,FALSE)&lt;1.5,"Moderado",IF(VLOOKUP(BK216,Fundamentus!A:U,4,FALSE)&gt;1.5,"Alto","n/a")))</f>
        <v>Alto</v>
      </c>
      <c r="ES216" s="20" t="str">
        <f>IF(VLOOKUP(BK216,Fundamentus!A:U,8,FALSE)&lt;0,"Risco elevado",IF(VLOOKUP(BK216,Fundamentus!A:U,8,FALSE)&lt;1,"Saudável",IF(VLOOKUP(BK216,Fundamentus!A:U,8,FALSE)&lt;3,"Estável",IF(VLOOKUP(BK216,Fundamentus!A:U,8,FALSE)&gt;3,"Alerta","n/a"))))</f>
        <v>Alerta</v>
      </c>
      <c r="ET216" s="36" t="str">
        <f t="shared" si="202"/>
        <v>Ruim</v>
      </c>
      <c r="EU216" s="20" t="str">
        <f>IF(VLOOKUP(BK216,Fundamentus!A:U,12,FALSE)&lt;2,"Subvalorizada",IF(VLOOKUP(BK216,Fundamentus!A:U,12,FALSE)&lt;6,"Muita barata",IF(VLOOKUP(BK216,Fundamentus!A:U,12,FALSE)&lt;6,"Barata",IF(VLOOKUP(BK216,Fundamentus!A:U,12,FALSE)&lt;8,"Atrativa",IF(VLOOKUP(BK216,Fundamentus!A:U,12,FALSE)&gt;8,"Supervalorizada","n/a")))))</f>
        <v>Atrativa</v>
      </c>
      <c r="EW216" s="20" t="str">
        <f>IF(VLOOKUP(BK216,Fundamentus!A:U,17,FALSE)&lt;0.1,"Fraco retorno",IF(VLOOKUP(BK216,Fundamentus!A:U,17,FALSE)&gt;0.1,"Bom retorno","n/a"))</f>
        <v>Fraco retorno</v>
      </c>
      <c r="EX216" s="20" t="str">
        <f>IF(VLOOKUP(BK216,Fundamentus!A:U,16,FALSE)&lt;0.1,"Ineficiente",IF(VLOOKUP(BK216,Fundamentus!A:U,16,FALSE)&gt;0.1,"Eficiente","n/a"))</f>
        <v>Ineficiente</v>
      </c>
      <c r="EY216" s="41" t="str">
        <f>IF(VLOOKUP(BK216,Fundamentus!A:U,16,FALSE)&lt;0.1,"Oper. Ineficiente",IF(VLOOKUP(BK216,Fundamentus!A:U,16,FALSE)&gt;0.1,"Oper.Eficiente","n/a"))</f>
        <v>Oper. Ineficiente</v>
      </c>
      <c r="EZ216" s="42">
        <f>VLOOKUP(BK216,Fundamentus!A:U,14,FALSE)</f>
        <v>2.5100000000000001E-2</v>
      </c>
      <c r="FA216" s="20" t="str">
        <f>IF(VLOOKUP(BK216,Fundamentus!A:U,21,FALSE)&lt;0,"Negativo",IF(VLOOKUP(BK216,Fundamentus!A:U,21,FALSE)&lt;0.05,"Fraco",IF(VLOOKUP(BK216,Fundamentus!A:U,21,FALSE)&lt;0.1,"Bom",IF(VLOOKUP(BK216,Fundamentus!A:U,21,FALSE)&gt;0.1,"Muito bom","n/a"))))</f>
        <v>Muito bom</v>
      </c>
      <c r="FC216" s="37" t="str">
        <f>IF(VLOOKUP(BK216,Fundamentus!A:U,15,FALSE)&gt;1,"Bom",IF(VLOOKUP(BK216,Fundamentus!A:U,15,FALSE)&lt;1,"Ruim","n/a"))</f>
        <v>Bom</v>
      </c>
      <c r="FD216" s="20" t="str">
        <f>IF(VLOOKUP(BK216,Fundamentus!A:U,20,FALSE)&lt;0.5,"Baixa",IF(VLOOKUP(BK216,Fundamentus!A:U,20,FALSE)&lt;1,"Moderada",IF(VLOOKUP(BK216,Fundamentus!A:U,20,FALSE)&lt;2,"Alerta",IF(VLOOKUP(BK216,Fundamentus!A:U,20,FALSE)&gt;2,"Alta","n/a"))))</f>
        <v>Alerta</v>
      </c>
    </row>
    <row r="217" spans="1:161" s="2" customFormat="1" ht="11.25" hidden="1"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8">
        <v>4.55</v>
      </c>
      <c r="BC217" s="62">
        <v>4.34</v>
      </c>
      <c r="BD217" s="62">
        <v>4.12</v>
      </c>
      <c r="BE217" s="62">
        <v>4.97</v>
      </c>
      <c r="BF217" s="62">
        <v>4.53</v>
      </c>
      <c r="BG217" s="81">
        <v>4.6399999999999997</v>
      </c>
      <c r="BH217" s="62">
        <v>4.4800000000000004</v>
      </c>
      <c r="BI217" s="62">
        <v>4.13</v>
      </c>
      <c r="BJ217" s="62" cm="1">
        <f t="array" aca="1" ref="BJ217" ca="1">_FV(EH217,"Preço")</f>
        <v>4.12</v>
      </c>
      <c r="BK217" s="83" t="s">
        <v>213</v>
      </c>
      <c r="BL217" s="44" cm="1">
        <f t="array" aca="1" ref="BL217" ca="1">_FV(EH217,"Média de volume",TRUE)</f>
        <v>20288590</v>
      </c>
      <c r="BM217" s="44">
        <v>26246400</v>
      </c>
      <c r="BN217" s="44" cm="1">
        <f t="array" aca="1" ref="BN217" ca="1">_FV(EH217,"Volume")</f>
        <v>7855400</v>
      </c>
      <c r="BO217" s="32" cm="1">
        <f t="array" aca="1" ref="BO217" ca="1">_FV(EH217,"Beta")</f>
        <v>1.2881</v>
      </c>
      <c r="BP217" s="86" cm="1">
        <f t="array" aca="1" ref="BP217" ca="1">_FV(EH217,"Variação (%)",TRUE)</f>
        <v>-2.421E-3</v>
      </c>
      <c r="BQ217" s="48"/>
      <c r="BR217" s="48"/>
      <c r="BT217" s="20" cm="1">
        <f t="array" aca="1" ref="BT217" ca="1">_FV(EH217,"Baixo")</f>
        <v>4.03</v>
      </c>
      <c r="BU217" s="20" cm="1">
        <f t="array" aca="1" ref="BU217" ca="1">_FV(EH217,"Alto")</f>
        <v>4.2</v>
      </c>
      <c r="BV217" s="32"/>
      <c r="BW217" s="73">
        <f ca="1">SQRT(22.5*(BJ217/VLOOKUP(BK217,Fundamentus!A:U,3,FALSE))*(BJ217/VLOOKUP(BK217,Fundamentus!A:U,4,FALSE)))</f>
        <v>3.3953993903579982</v>
      </c>
      <c r="BY217" s="72">
        <f t="shared" ca="1" si="198"/>
        <v>-2.4213075060532173E-3</v>
      </c>
      <c r="BZ217" s="8"/>
      <c r="CA217" s="71">
        <f t="shared" si="205"/>
        <v>3.81</v>
      </c>
      <c r="CB217" s="71">
        <f t="shared" si="199"/>
        <v>9.15</v>
      </c>
      <c r="CC217" s="71">
        <f t="shared" si="206"/>
        <v>6.0081967213114762</v>
      </c>
      <c r="CD217" s="17"/>
      <c r="CE217" s="43">
        <f t="shared" si="203"/>
        <v>3.7232933063201719</v>
      </c>
      <c r="CF217" s="18">
        <f>FORECAST("04/07/2025", BF217:BI217, $BF$5:$BI$5)</f>
        <v>4.1050000000000182</v>
      </c>
      <c r="CG217" s="43">
        <f t="shared" si="204"/>
        <v>4.4867066936798645</v>
      </c>
      <c r="CI217" s="17"/>
      <c r="CJ217" s="20">
        <f>CA217-2*(CB217-CM217)</f>
        <v>-3.096666666666668</v>
      </c>
      <c r="CK217" s="20">
        <f>CM217-(CB217-CA217)</f>
        <v>0.35666666666666647</v>
      </c>
      <c r="CL217" s="20">
        <f>2*CM217-CB217</f>
        <v>2.2433333333333323</v>
      </c>
      <c r="CM217" s="48">
        <f>(CB217+CA217+BI217)/3</f>
        <v>5.6966666666666663</v>
      </c>
      <c r="CN217" s="20">
        <f>2*CM217-CA217</f>
        <v>7.5833333333333321</v>
      </c>
      <c r="CO217" s="20">
        <f>CM217+(CB217-CA217)</f>
        <v>11.036666666666665</v>
      </c>
      <c r="CP217" s="20">
        <f>CB217+2*(CM217-CA217)</f>
        <v>12.923333333333332</v>
      </c>
      <c r="CQ217" s="2" cm="1">
        <f t="array" aca="1" ref="CQ217" ca="1">MAX(_xlfn._xlws.FILTER(CJ217:CP217,CJ217:CP217&lt;BJ217))</f>
        <v>2.2433333333333323</v>
      </c>
      <c r="CR217" s="2" cm="1">
        <f t="array" aca="1" ref="CR217" ca="1">MIN(_xlfn._xlws.FILTER($CJ217:$CP217,$CJ217:$CP217&gt;BJ217))</f>
        <v>5.6966666666666663</v>
      </c>
      <c r="CS217" s="19">
        <f t="shared" ca="1" si="207"/>
        <v>1.5393759286775643</v>
      </c>
      <c r="CT217" s="23">
        <f t="shared" ca="1" si="208"/>
        <v>-0.76968796433878217</v>
      </c>
      <c r="CU217" s="23">
        <f t="shared" ca="1" si="209"/>
        <v>-0.51312530955918811</v>
      </c>
      <c r="CV217" s="23">
        <f t="shared" ca="1" si="210"/>
        <v>-0.30787518573551287</v>
      </c>
      <c r="CW217" s="23">
        <f t="shared" ca="1" si="211"/>
        <v>-0.17104176985306271</v>
      </c>
      <c r="CX217" s="23">
        <f t="shared" ca="1" si="212"/>
        <v>-9.0551525216327311E-2</v>
      </c>
      <c r="CY217" s="23">
        <f t="shared" ca="1" si="213"/>
        <v>-4.6647755414471644E-2</v>
      </c>
      <c r="CZ217" s="23">
        <f t="shared" ca="1" si="214"/>
        <v>-2.3682706595039453E-2</v>
      </c>
      <c r="DA217" s="24">
        <f t="shared" ca="1" si="215"/>
        <v>2.3682706595039453E-2</v>
      </c>
      <c r="DB217" s="24">
        <f t="shared" ca="1" si="216"/>
        <v>4.6647755414471644E-2</v>
      </c>
      <c r="DC217" s="24">
        <f t="shared" ca="1" si="217"/>
        <v>9.0551525216327311E-2</v>
      </c>
      <c r="DD217" s="24">
        <f t="shared" ca="1" si="218"/>
        <v>0.17104176985306271</v>
      </c>
      <c r="DE217" s="24">
        <f t="shared" ca="1" si="219"/>
        <v>0.30787518573551287</v>
      </c>
      <c r="DF217" s="24">
        <f t="shared" ca="1" si="220"/>
        <v>0.51312530955918811</v>
      </c>
      <c r="DG217" s="24">
        <f t="shared" ca="1" si="221"/>
        <v>0.76968796433878217</v>
      </c>
      <c r="DI217" s="19" cm="1">
        <f t="array" aca="1" ref="DI217" ca="1">MAX(_xlfn._xlws.FILTER(CT217:DG217,CT217:DG217&lt;BP217))</f>
        <v>-2.3682706595039453E-2</v>
      </c>
      <c r="DJ217" s="19" cm="1">
        <f t="array" aca="1" ref="DJ217" ca="1">MIN(_xlfn._xlws.FILTER(CT217:DG217,CT217:DG217&gt;BP217))</f>
        <v>2.3682706595039453E-2</v>
      </c>
      <c r="DK217" s="2" cm="1">
        <f t="array" aca="1" ref="DK217" ca="1">_FV(EH217,"Fechamento anterior",TRUE)</f>
        <v>4.13</v>
      </c>
      <c r="DL217" s="36">
        <f ca="1">(BJ217-DM217)/(DN217-DM217)</f>
        <v>0.44888026213692178</v>
      </c>
      <c r="DM217" s="18">
        <f t="shared" ca="1" si="222"/>
        <v>4.0321904217624871</v>
      </c>
      <c r="DN217" s="18">
        <f t="shared" ca="1" si="223"/>
        <v>4.2278095782375127</v>
      </c>
      <c r="DO217" s="9"/>
      <c r="DP217" s="9"/>
      <c r="DQ217" s="94">
        <v>2.7292326709785437E-2</v>
      </c>
      <c r="DR217" s="94">
        <v>2.7292326709785437E-2</v>
      </c>
      <c r="DS217" s="94">
        <v>1.8960824122114438E-2</v>
      </c>
      <c r="DT217" s="94">
        <f t="shared" ca="1" si="200"/>
        <v>4.7365413190078906E-2</v>
      </c>
      <c r="DU217" s="87">
        <f ca="1">(BJ217-CF217)/(CF217-CE217)</f>
        <v>3.929718877962108E-2</v>
      </c>
      <c r="DV217" s="46"/>
      <c r="DW217" s="43">
        <f>_xlfn.STDEV.P(BF217:BI217)</f>
        <v>0.19085334683992317</v>
      </c>
      <c r="DX217" s="76">
        <f ca="1">BO217-$DT$2</f>
        <v>0.29099999999999993</v>
      </c>
      <c r="DY217" s="76">
        <f ca="1">BO217-BP217*100</f>
        <v>1.5302</v>
      </c>
      <c r="DZ217" s="101"/>
      <c r="EA217" s="100">
        <v>2.7576999999999998</v>
      </c>
      <c r="EB217" s="107">
        <v>-9.1580999999999992</v>
      </c>
      <c r="EC217" s="107">
        <v>-6.3802000000000003</v>
      </c>
      <c r="ED217" s="98">
        <f t="shared" ca="1" si="196"/>
        <v>-1.2392000000000001</v>
      </c>
      <c r="EE217" s="66"/>
      <c r="EF217" s="66"/>
      <c r="EH217" s="2" t="e" vm="219">
        <v>#VALUE!</v>
      </c>
      <c r="EJ217" s="10" cm="1">
        <f t="array" aca="1" ref="EJ217" ca="1">_FV(EH217,"Ações em circulação",TRUE)</f>
        <v>1081033000</v>
      </c>
      <c r="EK217" s="21">
        <f>VLOOKUP(BK217,Fundamentus!A:U,5,FALSE)</f>
        <v>1.165</v>
      </c>
      <c r="EL217" s="2">
        <f ca="1">(BJ217*EJ217)/EK217</f>
        <v>3823052326.1802573</v>
      </c>
      <c r="EM217" s="20">
        <v>272095542.137339</v>
      </c>
      <c r="EN217" s="20">
        <f t="shared" ca="1" si="201"/>
        <v>271436715.15879822</v>
      </c>
      <c r="EP217" s="19">
        <f t="shared" ca="1" si="197"/>
        <v>-2.421307506053294E-3</v>
      </c>
      <c r="EQ217" s="40" t="str">
        <f>IF(VLOOKUP(BK217,Fundamentus!A:U,3,FALSE)&lt;15,"Bom",IF(VLOOKUP(BK217,Fundamentus!A:U,3,FALSE)&gt;15,"Ruim","n/a"))</f>
        <v>Ruim</v>
      </c>
      <c r="ER217" s="36" t="str">
        <f>IF(VLOOKUP(BK217,Fundamentus!A:U,4,FALSE)&lt;1,"Baixo",IF(VLOOKUP(BK217,Fundamentus!A:U,4,FALSE)&lt;1.5,"Moderado",IF(VLOOKUP(BK217,Fundamentus!A:U,4,FALSE)&gt;1.5,"Alto","n/a")))</f>
        <v>Alto</v>
      </c>
      <c r="ES217" s="20" t="str">
        <f>IF(VLOOKUP(BK217,Fundamentus!A:U,8,FALSE)&lt;0,"Risco elevado",IF(VLOOKUP(BK217,Fundamentus!A:U,8,FALSE)&lt;1,"Saudável",IF(VLOOKUP(BK217,Fundamentus!A:U,8,FALSE)&lt;3,"Estável",IF(VLOOKUP(BK217,Fundamentus!A:U,8,FALSE)&gt;3,"Alerta","n/a"))))</f>
        <v>Estável</v>
      </c>
      <c r="ET217" s="36" t="str">
        <f t="shared" si="202"/>
        <v>Bom</v>
      </c>
      <c r="EU217" s="20" t="str">
        <f>IF(VLOOKUP(BK217,Fundamentus!A:U,12,FALSE)&lt;2,"Subvalorizada",IF(VLOOKUP(BK217,Fundamentus!A:U,12,FALSE)&lt;6,"Muita barata",IF(VLOOKUP(BK217,Fundamentus!A:U,12,FALSE)&lt;6,"Barata",IF(VLOOKUP(BK217,Fundamentus!A:U,12,FALSE)&lt;8,"Atrativa",IF(VLOOKUP(BK217,Fundamentus!A:U,12,FALSE)&gt;8,"Supervalorizada","n/a")))))</f>
        <v>Muita barata</v>
      </c>
      <c r="EW217" s="20" t="str">
        <f>IF(VLOOKUP(BK217,Fundamentus!A:U,17,FALSE)&lt;0.1,"Fraco retorno",IF(VLOOKUP(BK217,Fundamentus!A:U,17,FALSE)&gt;0.1,"Bom retorno","n/a"))</f>
        <v>Bom retorno</v>
      </c>
      <c r="EX217" s="20" t="str">
        <f>IF(VLOOKUP(BK217,Fundamentus!A:U,16,FALSE)&lt;0.1,"Ineficiente",IF(VLOOKUP(BK217,Fundamentus!A:U,16,FALSE)&gt;0.1,"Eficiente","n/a"))</f>
        <v>Eficiente</v>
      </c>
      <c r="EY217" s="41" t="str">
        <f>IF(VLOOKUP(BK217,Fundamentus!A:U,16,FALSE)&lt;0.1,"Oper. Ineficiente",IF(VLOOKUP(BK217,Fundamentus!A:U,16,FALSE)&gt;0.1,"Oper.Eficiente","n/a"))</f>
        <v>Oper.Eficiente</v>
      </c>
      <c r="EZ217" s="42">
        <f>VLOOKUP(BK217,Fundamentus!A:U,14,FALSE)</f>
        <v>7.0999999999999994E-2</v>
      </c>
      <c r="FA217" s="20" t="str">
        <f>IF(VLOOKUP(BK217,Fundamentus!A:U,21,FALSE)&lt;0,"Negativo",IF(VLOOKUP(BK217,Fundamentus!A:U,21,FALSE)&lt;0.05,"Fraco",IF(VLOOKUP(BK217,Fundamentus!A:U,21,FALSE)&lt;0.1,"Bom",IF(VLOOKUP(BK217,Fundamentus!A:U,21,FALSE)&gt;0.1,"Muito bom","n/a"))))</f>
        <v>Muito bom</v>
      </c>
      <c r="FC217" s="37" t="str">
        <f>IF(VLOOKUP(BK217,Fundamentus!A:U,15,FALSE)&gt;1,"Bom",IF(VLOOKUP(BK217,Fundamentus!A:U,15,FALSE)&lt;1,"Ruim","n/a"))</f>
        <v>Bom</v>
      </c>
      <c r="FD217" s="20" t="str">
        <f>IF(VLOOKUP(BK217,Fundamentus!A:U,20,FALSE)&lt;0.5,"Baixa",IF(VLOOKUP(BK217,Fundamentus!A:U,20,FALSE)&lt;1,"Moderada",IF(VLOOKUP(BK217,Fundamentus!A:U,20,FALSE)&lt;2,"Alerta",IF(VLOOKUP(BK217,Fundamentus!A:U,20,FALSE)&gt;2,"Alta","n/a"))))</f>
        <v>Alta</v>
      </c>
    </row>
    <row r="218" spans="1:161" s="2" customFormat="1" ht="11.25" hidden="1"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8">
        <v>5.0999999999999996</v>
      </c>
      <c r="BC218" s="62">
        <v>5.17</v>
      </c>
      <c r="BD218" s="62">
        <v>5.0599999999999996</v>
      </c>
      <c r="BE218" s="62">
        <v>5.35</v>
      </c>
      <c r="BF218" s="62">
        <v>5.24</v>
      </c>
      <c r="BG218" s="81">
        <v>5.23</v>
      </c>
      <c r="BH218" s="62">
        <v>5.26</v>
      </c>
      <c r="BI218" s="62">
        <v>5.25</v>
      </c>
      <c r="BJ218" s="62" cm="1">
        <f t="array" aca="1" ref="BJ218" ca="1">_FV(EH218,"Preço")</f>
        <v>5.3</v>
      </c>
      <c r="BK218" s="83" t="s">
        <v>214</v>
      </c>
      <c r="BL218" s="44" cm="1">
        <f t="array" aca="1" ref="BL218" ca="1">_FV(EH218,"Média de volume",TRUE)</f>
        <v>2158530</v>
      </c>
      <c r="BM218" s="44">
        <v>1464900</v>
      </c>
      <c r="BN218" s="44" cm="1">
        <f t="array" aca="1" ref="BN218" ca="1">_FV(EH218,"Volume")</f>
        <v>823500</v>
      </c>
      <c r="BO218" s="32" cm="1">
        <f t="array" aca="1" ref="BO218" ca="1">_FV(EH218,"Beta")</f>
        <v>1.6373</v>
      </c>
      <c r="BP218" s="86" cm="1">
        <f t="array" aca="1" ref="BP218" ca="1">_FV(EH218,"Variação (%)",TRUE)</f>
        <v>9.5239999999999995E-3</v>
      </c>
      <c r="BQ218" s="48"/>
      <c r="BR218" s="48"/>
      <c r="BT218" s="20" cm="1">
        <f t="array" aca="1" ref="BT218" ca="1">_FV(EH218,"Baixo")</f>
        <v>5.21</v>
      </c>
      <c r="BU218" s="20" cm="1">
        <f t="array" aca="1" ref="BU218" ca="1">_FV(EH218,"Alto")</f>
        <v>5.35</v>
      </c>
      <c r="BV218" s="32"/>
      <c r="BW218" s="73">
        <f ca="1">SQRT(22.5*(BJ218/VLOOKUP(BK218,Fundamentus!A:U,3,FALSE))*(BJ218/VLOOKUP(BK218,Fundamentus!A:U,4,FALSE)))</f>
        <v>17.470206985689984</v>
      </c>
      <c r="BY218" s="72">
        <f t="shared" ca="1" si="198"/>
        <v>9.52380952380949E-3</v>
      </c>
      <c r="BZ218" s="8"/>
      <c r="CA218" s="71">
        <f t="shared" si="205"/>
        <v>3.56</v>
      </c>
      <c r="CB218" s="71">
        <f t="shared" si="199"/>
        <v>5.35</v>
      </c>
      <c r="CC218" s="71">
        <f t="shared" si="206"/>
        <v>4.2735245901639338</v>
      </c>
      <c r="CD218" s="17"/>
      <c r="CE218" s="43">
        <f t="shared" si="203"/>
        <v>5.2376393202250009</v>
      </c>
      <c r="CF218" s="18">
        <f>FORECAST("04/07/2025", BF218:BI218, $BF$5:$BI$5)</f>
        <v>5.259999999999998</v>
      </c>
      <c r="CG218" s="43">
        <f t="shared" si="204"/>
        <v>5.2823606797749951</v>
      </c>
      <c r="CI218" s="17"/>
      <c r="CJ218" s="20">
        <f>CA218-2*(CB218-CM218)</f>
        <v>2.3000000000000003</v>
      </c>
      <c r="CK218" s="20">
        <f>CM218-(CB218-CA218)</f>
        <v>2.93</v>
      </c>
      <c r="CL218" s="20">
        <f>2*CM218-CB218</f>
        <v>4.09</v>
      </c>
      <c r="CM218" s="48">
        <f>(CB218+CA218+BI218)/3</f>
        <v>4.72</v>
      </c>
      <c r="CN218" s="20">
        <f>2*CM218-CA218</f>
        <v>5.879999999999999</v>
      </c>
      <c r="CO218" s="20">
        <f>CM218+(CB218-CA218)</f>
        <v>6.51</v>
      </c>
      <c r="CP218" s="20">
        <f>CB218+2*(CM218-CA218)</f>
        <v>7.669999999999999</v>
      </c>
      <c r="CQ218" s="2" cm="1">
        <f t="array" aca="1" ref="CQ218" ca="1">MAX(_xlfn._xlws.FILTER(CJ218:CP218,CJ218:CP218&lt;BJ218))</f>
        <v>4.72</v>
      </c>
      <c r="CR218" s="2" cm="1">
        <f t="array" aca="1" ref="CR218" ca="1">MIN(_xlfn._xlws.FILTER($CJ218:$CP218,$CJ218:$CP218&gt;BJ218))</f>
        <v>5.879999999999999</v>
      </c>
      <c r="CS218" s="19">
        <f t="shared" ca="1" si="207"/>
        <v>0.24576271186440657</v>
      </c>
      <c r="CT218" s="23">
        <f t="shared" ca="1" si="208"/>
        <v>-0.12288135593220328</v>
      </c>
      <c r="CU218" s="23">
        <f t="shared" ca="1" si="209"/>
        <v>-8.1920903954802185E-2</v>
      </c>
      <c r="CV218" s="23">
        <f t="shared" ca="1" si="210"/>
        <v>-4.9152542372881317E-2</v>
      </c>
      <c r="CW218" s="23">
        <f t="shared" ca="1" si="211"/>
        <v>-2.7306967984934063E-2</v>
      </c>
      <c r="CX218" s="23">
        <f t="shared" ca="1" si="212"/>
        <v>-1.4456630109670975E-2</v>
      </c>
      <c r="CY218" s="23">
        <f t="shared" ca="1" si="213"/>
        <v>-7.4473549049820171E-3</v>
      </c>
      <c r="CZ218" s="23">
        <f t="shared" ca="1" si="214"/>
        <v>-3.7809647979139471E-3</v>
      </c>
      <c r="DA218" s="24">
        <f t="shared" ca="1" si="215"/>
        <v>3.7809647979139471E-3</v>
      </c>
      <c r="DB218" s="24">
        <f t="shared" ca="1" si="216"/>
        <v>7.4473549049820171E-3</v>
      </c>
      <c r="DC218" s="24">
        <f t="shared" ca="1" si="217"/>
        <v>1.4456630109670975E-2</v>
      </c>
      <c r="DD218" s="24">
        <f t="shared" ca="1" si="218"/>
        <v>2.7306967984934063E-2</v>
      </c>
      <c r="DE218" s="24">
        <f t="shared" ca="1" si="219"/>
        <v>4.9152542372881317E-2</v>
      </c>
      <c r="DF218" s="24">
        <f t="shared" ca="1" si="220"/>
        <v>8.1920903954802185E-2</v>
      </c>
      <c r="DG218" s="24">
        <f t="shared" ca="1" si="221"/>
        <v>0.12288135593220328</v>
      </c>
      <c r="DI218" s="19" cm="1">
        <f t="array" aca="1" ref="DI218" ca="1">MAX(_xlfn._xlws.FILTER(CT218:DG218,CT218:DG218&lt;BP218))</f>
        <v>7.4473549049820171E-3</v>
      </c>
      <c r="DJ218" s="19" cm="1">
        <f t="array" aca="1" ref="DJ218" ca="1">MIN(_xlfn._xlws.FILTER(CT218:DG218,CT218:DG218&gt;BP218))</f>
        <v>1.4456630109670975E-2</v>
      </c>
      <c r="DK218" s="2" cm="1">
        <f t="array" aca="1" ref="DK218" ca="1">_FV(EH218,"Fechamento anterior",TRUE)</f>
        <v>5.25</v>
      </c>
      <c r="DL218" s="36">
        <f ca="1">(BJ218-DM218)/(DN218-DM218)</f>
        <v>0.29624384236452833</v>
      </c>
      <c r="DM218" s="18">
        <f t="shared" ca="1" si="222"/>
        <v>5.2890986132511557</v>
      </c>
      <c r="DN218" s="18">
        <f t="shared" ca="1" si="223"/>
        <v>5.3258973080757723</v>
      </c>
      <c r="DO218" s="9"/>
      <c r="DP218" s="9"/>
      <c r="DQ218" s="94">
        <v>5.3933456203317572E-3</v>
      </c>
      <c r="DR218" s="94">
        <v>5.5665480551335385E-3</v>
      </c>
      <c r="DS218" s="94">
        <v>6.9788491454187409E-3</v>
      </c>
      <c r="DT218" s="94">
        <f t="shared" ca="1" si="200"/>
        <v>7.0092752046889582E-3</v>
      </c>
      <c r="DU218" s="87">
        <f ca="1">(BJ218-CF218)/(CF218-CE218)</f>
        <v>1.7888543819999752</v>
      </c>
      <c r="DV218" s="46"/>
      <c r="DW218" s="43">
        <f>_xlfn.STDEV.P(BF218:BI218)</f>
        <v>1.1180339887498709E-2</v>
      </c>
      <c r="DX218" s="76">
        <f ca="1">BO218-$DT$2</f>
        <v>0.64019999999999988</v>
      </c>
      <c r="DY218" s="76">
        <f ca="1">BO218-BP218*100</f>
        <v>0.68490000000000006</v>
      </c>
      <c r="DZ218" s="101"/>
      <c r="EA218" s="100">
        <v>0.67039999999999988</v>
      </c>
      <c r="EB218" s="107">
        <v>-1.3506999999999998</v>
      </c>
      <c r="EC218" s="107">
        <v>0.18090000000000006</v>
      </c>
      <c r="ED218" s="98">
        <f t="shared" ca="1" si="196"/>
        <v>-4.4700000000000184E-2</v>
      </c>
      <c r="EE218" s="66"/>
      <c r="EF218" s="66"/>
      <c r="EH218" s="2" t="e" vm="220">
        <v>#VALUE!</v>
      </c>
      <c r="EJ218" s="10" cm="1">
        <f t="array" aca="1" ref="EJ218" ca="1">_FV(EH218,"Ações em circulação",TRUE)</f>
        <v>681322800</v>
      </c>
      <c r="EK218" s="21">
        <f>VLOOKUP(BK218,Fundamentus!A:U,5,FALSE)</f>
        <v>2.0750000000000002</v>
      </c>
      <c r="EL218" s="2">
        <f ca="1">(BJ218*EJ218)/EK218</f>
        <v>1740246187.951807</v>
      </c>
      <c r="EM218" s="20">
        <v>1062223288.7421685</v>
      </c>
      <c r="EN218" s="20">
        <f t="shared" ca="1" si="201"/>
        <v>1072339701.0159035</v>
      </c>
      <c r="EP218" s="19">
        <f t="shared" ca="1" si="197"/>
        <v>9.52380952380949E-3</v>
      </c>
      <c r="EQ218" s="40" t="str">
        <f>IF(VLOOKUP(BK218,Fundamentus!A:U,3,FALSE)&lt;15,"Bom",IF(VLOOKUP(BK218,Fundamentus!A:U,3,FALSE)&gt;15,"Ruim","n/a"))</f>
        <v>Bom</v>
      </c>
      <c r="ER218" s="36" t="str">
        <f>IF(VLOOKUP(BK218,Fundamentus!A:U,4,FALSE)&lt;1,"Baixo",IF(VLOOKUP(BK218,Fundamentus!A:U,4,FALSE)&lt;1.5,"Moderado",IF(VLOOKUP(BK218,Fundamentus!A:U,4,FALSE)&gt;1.5,"Alto","n/a")))</f>
        <v>Baixo</v>
      </c>
      <c r="ES218" s="20" t="str">
        <f>IF(VLOOKUP(BK218,Fundamentus!A:U,8,FALSE)&lt;0,"Risco elevado",IF(VLOOKUP(BK218,Fundamentus!A:U,8,FALSE)&lt;1,"Saudável",IF(VLOOKUP(BK218,Fundamentus!A:U,8,FALSE)&lt;3,"Estável",IF(VLOOKUP(BK218,Fundamentus!A:U,8,FALSE)&gt;3,"Alerta","n/a"))))</f>
        <v>Estável</v>
      </c>
      <c r="ET218" s="36" t="str">
        <f t="shared" si="202"/>
        <v>Bom</v>
      </c>
      <c r="EU218" s="20" t="str">
        <f>IF(VLOOKUP(BK218,Fundamentus!A:U,12,FALSE)&lt;2,"Subvalorizada",IF(VLOOKUP(BK218,Fundamentus!A:U,12,FALSE)&lt;6,"Muita barata",IF(VLOOKUP(BK218,Fundamentus!A:U,12,FALSE)&lt;6,"Barata",IF(VLOOKUP(BK218,Fundamentus!A:U,12,FALSE)&lt;8,"Atrativa",IF(VLOOKUP(BK218,Fundamentus!A:U,12,FALSE)&gt;8,"Supervalorizada","n/a")))))</f>
        <v>Supervalorizada</v>
      </c>
      <c r="EW218" s="20" t="str">
        <f>IF(VLOOKUP(BK218,Fundamentus!A:U,17,FALSE)&lt;0.1,"Fraco retorno",IF(VLOOKUP(BK218,Fundamentus!A:U,17,FALSE)&gt;0.1,"Bom retorno","n/a"))</f>
        <v>Bom retorno</v>
      </c>
      <c r="EX218" s="20" t="str">
        <f>IF(VLOOKUP(BK218,Fundamentus!A:U,16,FALSE)&lt;0.1,"Ineficiente",IF(VLOOKUP(BK218,Fundamentus!A:U,16,FALSE)&gt;0.1,"Eficiente","n/a"))</f>
        <v>Ineficiente</v>
      </c>
      <c r="EY218" s="41" t="str">
        <f>IF(VLOOKUP(BK218,Fundamentus!A:U,16,FALSE)&lt;0.1,"Oper. Ineficiente",IF(VLOOKUP(BK218,Fundamentus!A:U,16,FALSE)&gt;0.1,"Oper.Eficiente","n/a"))</f>
        <v>Oper. Ineficiente</v>
      </c>
      <c r="EZ218" s="42">
        <f>VLOOKUP(BK218,Fundamentus!A:U,14,FALSE)</f>
        <v>0.61619999999999997</v>
      </c>
      <c r="FA218" s="20" t="str">
        <f>IF(VLOOKUP(BK218,Fundamentus!A:U,21,FALSE)&lt;0,"Negativo",IF(VLOOKUP(BK218,Fundamentus!A:U,21,FALSE)&lt;0.05,"Fraco",IF(VLOOKUP(BK218,Fundamentus!A:U,21,FALSE)&lt;0.1,"Bom",IF(VLOOKUP(BK218,Fundamentus!A:U,21,FALSE)&gt;0.1,"Muito bom","n/a"))))</f>
        <v>Fraco</v>
      </c>
      <c r="FC218" s="37" t="str">
        <f>IF(VLOOKUP(BK218,Fundamentus!A:U,15,FALSE)&gt;1,"Bom",IF(VLOOKUP(BK218,Fundamentus!A:U,15,FALSE)&lt;1,"Ruim","n/a"))</f>
        <v>Bom</v>
      </c>
      <c r="FD218" s="20" t="str">
        <f>IF(VLOOKUP(BK218,Fundamentus!A:U,20,FALSE)&lt;0.5,"Baixa",IF(VLOOKUP(BK218,Fundamentus!A:U,20,FALSE)&lt;1,"Moderada",IF(VLOOKUP(BK218,Fundamentus!A:U,20,FALSE)&lt;2,"Alerta",IF(VLOOKUP(BK218,Fundamentus!A:U,20,FALSE)&gt;2,"Alta","n/a"))))</f>
        <v>Moderada</v>
      </c>
    </row>
    <row r="219" spans="1:161" s="2" customFormat="1" ht="11.25" hidden="1"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8">
        <v>5.09</v>
      </c>
      <c r="BC219" s="62">
        <v>4.83</v>
      </c>
      <c r="BD219" s="62">
        <v>4.7</v>
      </c>
      <c r="BE219" s="62">
        <v>5.33</v>
      </c>
      <c r="BF219" s="62">
        <v>5.09</v>
      </c>
      <c r="BG219" s="81">
        <v>5.52</v>
      </c>
      <c r="BH219" s="62">
        <v>5.49</v>
      </c>
      <c r="BI219" s="62">
        <v>5.03</v>
      </c>
      <c r="BJ219" s="62" cm="1">
        <f t="array" aca="1" ref="BJ219" ca="1">_FV(EH219,"Preço")</f>
        <v>5.0199999999999996</v>
      </c>
      <c r="BK219" s="83" t="s">
        <v>215</v>
      </c>
      <c r="BL219" s="44" cm="1">
        <f t="array" aca="1" ref="BL219" ca="1">_FV(EH219,"Média de volume",TRUE)</f>
        <v>6954960</v>
      </c>
      <c r="BM219" s="44">
        <v>7215900</v>
      </c>
      <c r="BN219" s="44" cm="1">
        <f t="array" aca="1" ref="BN219" ca="1">_FV(EH219,"Volume")</f>
        <v>2677300</v>
      </c>
      <c r="BO219" s="32" cm="1">
        <f t="array" aca="1" ref="BO219" ca="1">_FV(EH219,"Beta")</f>
        <v>1.6448</v>
      </c>
      <c r="BP219" s="86" cm="1">
        <f t="array" aca="1" ref="BP219" ca="1">_FV(EH219,"Variação (%)",TRUE)</f>
        <v>-1.9880000000000002E-3</v>
      </c>
      <c r="BQ219" s="48"/>
      <c r="BR219" s="48"/>
      <c r="BT219" s="20" cm="1">
        <f t="array" aca="1" ref="BT219" ca="1">_FV(EH219,"Baixo")</f>
        <v>4.8899999999999997</v>
      </c>
      <c r="BU219" s="20" cm="1">
        <f t="array" aca="1" ref="BU219" ca="1">_FV(EH219,"Alto")</f>
        <v>5.12</v>
      </c>
      <c r="BV219" s="32"/>
      <c r="BW219" s="73" t="e">
        <f ca="1">SQRT(22.5*(BJ219/VLOOKUP(BK219,Fundamentus!A:U,3,FALSE))*(BJ219/VLOOKUP(BK219,Fundamentus!A:U,4,FALSE)))</f>
        <v>#NUM!</v>
      </c>
      <c r="BY219" s="72">
        <f t="shared" ca="1" si="198"/>
        <v>-1.988071570576675E-3</v>
      </c>
      <c r="BZ219" s="8"/>
      <c r="CA219" s="71">
        <f t="shared" si="205"/>
        <v>3.12</v>
      </c>
      <c r="CB219" s="71">
        <f t="shared" si="199"/>
        <v>6.93</v>
      </c>
      <c r="CC219" s="71">
        <f t="shared" si="206"/>
        <v>5.0440163934426234</v>
      </c>
      <c r="CD219" s="17"/>
      <c r="CE219" s="43">
        <f t="shared" si="203"/>
        <v>4.7824790507696777</v>
      </c>
      <c r="CF219" s="18">
        <f>FORECAST("04/07/2025", BF219:BI219, $BF$5:$BI$5)</f>
        <v>5.2299999999999898</v>
      </c>
      <c r="CG219" s="43">
        <f t="shared" si="204"/>
        <v>5.6775209492303018</v>
      </c>
      <c r="CI219" s="17"/>
      <c r="CJ219" s="20">
        <f>CA219-2*(CB219-CM219)</f>
        <v>-0.68666666666666476</v>
      </c>
      <c r="CK219" s="20">
        <f>CM219-(CB219-CA219)</f>
        <v>1.2166666666666677</v>
      </c>
      <c r="CL219" s="20">
        <f>2*CM219-CB219</f>
        <v>3.1233333333333348</v>
      </c>
      <c r="CM219" s="48">
        <f>(CB219+CA219+BI219)/3</f>
        <v>5.0266666666666673</v>
      </c>
      <c r="CN219" s="20">
        <f>2*CM219-CA219</f>
        <v>6.9333333333333345</v>
      </c>
      <c r="CO219" s="20">
        <f>CM219+(CB219-CA219)</f>
        <v>8.836666666666666</v>
      </c>
      <c r="CP219" s="20">
        <f>CB219+2*(CM219-CA219)</f>
        <v>10.743333333333334</v>
      </c>
      <c r="CQ219" s="2" cm="1">
        <f t="array" aca="1" ref="CQ219" ca="1">MAX(_xlfn._xlws.FILTER(CJ219:CP219,CJ219:CP219&lt;BJ219))</f>
        <v>3.1233333333333348</v>
      </c>
      <c r="CR219" s="2" cm="1">
        <f t="array" aca="1" ref="CR219" ca="1">MIN(_xlfn._xlws.FILTER($CJ219:$CP219,$CJ219:$CP219&gt;BJ219))</f>
        <v>5.0266666666666673</v>
      </c>
      <c r="CS219" s="19">
        <f t="shared" ca="1" si="207"/>
        <v>0.60939167556029816</v>
      </c>
      <c r="CT219" s="23">
        <f t="shared" ca="1" si="208"/>
        <v>-0.30469583778014908</v>
      </c>
      <c r="CU219" s="23">
        <f t="shared" ca="1" si="209"/>
        <v>-0.2031305585200994</v>
      </c>
      <c r="CV219" s="23">
        <f t="shared" ca="1" si="210"/>
        <v>-0.12187833511205963</v>
      </c>
      <c r="CW219" s="23">
        <f t="shared" ca="1" si="211"/>
        <v>-6.7710186173366466E-2</v>
      </c>
      <c r="CX219" s="23">
        <f t="shared" ca="1" si="212"/>
        <v>-3.5846569150605773E-2</v>
      </c>
      <c r="CY219" s="23">
        <f t="shared" ca="1" si="213"/>
        <v>-1.8466414410918126E-2</v>
      </c>
      <c r="CZ219" s="23">
        <f t="shared" ca="1" si="214"/>
        <v>-9.3752565470815105E-3</v>
      </c>
      <c r="DA219" s="24">
        <f t="shared" ca="1" si="215"/>
        <v>9.3752565470815105E-3</v>
      </c>
      <c r="DB219" s="24">
        <f t="shared" ca="1" si="216"/>
        <v>1.8466414410918126E-2</v>
      </c>
      <c r="DC219" s="24">
        <f t="shared" ca="1" si="217"/>
        <v>3.5846569150605773E-2</v>
      </c>
      <c r="DD219" s="24">
        <f t="shared" ca="1" si="218"/>
        <v>6.7710186173366466E-2</v>
      </c>
      <c r="DE219" s="24">
        <f t="shared" ca="1" si="219"/>
        <v>0.12187833511205963</v>
      </c>
      <c r="DF219" s="24">
        <f t="shared" ca="1" si="220"/>
        <v>0.2031305585200994</v>
      </c>
      <c r="DG219" s="24">
        <f t="shared" ca="1" si="221"/>
        <v>0.30469583778014908</v>
      </c>
      <c r="DI219" s="19" cm="1">
        <f t="array" aca="1" ref="DI219" ca="1">MAX(_xlfn._xlws.FILTER(CT219:DG219,CT219:DG219&lt;BP219))</f>
        <v>-9.3752565470815105E-3</v>
      </c>
      <c r="DJ219" s="19" cm="1">
        <f t="array" aca="1" ref="DJ219" ca="1">MIN(_xlfn._xlws.FILTER(CT219:DG219,CT219:DG219&gt;BP219))</f>
        <v>9.3752565470815105E-3</v>
      </c>
      <c r="DK219" s="2" cm="1">
        <f t="array" aca="1" ref="DK219" ca="1">_FV(EH219,"Fechamento anterior",TRUE)</f>
        <v>5.03</v>
      </c>
      <c r="DL219" s="36">
        <f ca="1">(BJ219-DM219)/(DN219-DM219)</f>
        <v>0.39397241768303548</v>
      </c>
      <c r="DM219" s="18">
        <f t="shared" ca="1" si="222"/>
        <v>4.9828424595681806</v>
      </c>
      <c r="DN219" s="18">
        <f t="shared" ca="1" si="223"/>
        <v>5.0771575404318199</v>
      </c>
      <c r="DO219" s="9"/>
      <c r="DP219" s="9"/>
      <c r="DQ219" s="94">
        <v>1.2647475224162329E-2</v>
      </c>
      <c r="DR219" s="94">
        <v>2.1492441557400037E-2</v>
      </c>
      <c r="DS219" s="94">
        <v>2.0854584608409842E-2</v>
      </c>
      <c r="DT219" s="94">
        <f t="shared" ca="1" si="200"/>
        <v>1.8750513094163021E-2</v>
      </c>
      <c r="DU219" s="87">
        <f ca="1">(BJ219-CF219)/(CF219-CE219)</f>
        <v>-0.46925177550049363</v>
      </c>
      <c r="DV219" s="46"/>
      <c r="DW219" s="43">
        <f>_xlfn.STDEV.P(BF219:BI219)</f>
        <v>0.22376047461515619</v>
      </c>
      <c r="DX219" s="76">
        <f ca="1">BO219-$DT$2</f>
        <v>0.64769999999999994</v>
      </c>
      <c r="DY219" s="76">
        <f ca="1">BO219-BP219*100</f>
        <v>1.8436000000000001</v>
      </c>
      <c r="DZ219" s="101"/>
      <c r="EA219" s="100">
        <v>3.4511000000000003</v>
      </c>
      <c r="EB219" s="107">
        <v>-5.5493000000000006</v>
      </c>
      <c r="EC219" s="107">
        <v>-4.1917</v>
      </c>
      <c r="ED219" s="98">
        <f t="shared" ca="1" si="196"/>
        <v>-1.1959000000000002</v>
      </c>
      <c r="EE219" s="66"/>
      <c r="EF219" s="66"/>
      <c r="EH219" s="2" t="e" vm="221">
        <v>#VALUE!</v>
      </c>
      <c r="EJ219" s="10" cm="1">
        <f t="array" aca="1" ref="EJ219" ca="1">_FV(EH219,"Ações em circulação",TRUE)</f>
        <v>873040500</v>
      </c>
      <c r="EK219" s="21">
        <f>VLOOKUP(BK219,Fundamentus!A:U,5,FALSE)</f>
        <v>0.114</v>
      </c>
      <c r="EL219" s="2">
        <f ca="1">(BJ219*EJ219)/EK219</f>
        <v>38444415000</v>
      </c>
      <c r="EM219" s="20">
        <v>15408399</v>
      </c>
      <c r="EN219" s="20">
        <f t="shared" ca="1" si="201"/>
        <v>15377766</v>
      </c>
      <c r="EP219" s="19">
        <f t="shared" ca="1" si="197"/>
        <v>-1.9880715705765661E-3</v>
      </c>
      <c r="EQ219" s="40" t="str">
        <f>IF(VLOOKUP(BK219,Fundamentus!A:U,3,FALSE)&lt;15,"Bom",IF(VLOOKUP(BK219,Fundamentus!A:U,3,FALSE)&gt;15,"Ruim","n/a"))</f>
        <v>Bom</v>
      </c>
      <c r="ER219" s="36" t="str">
        <f>IF(VLOOKUP(BK219,Fundamentus!A:U,4,FALSE)&lt;1,"Baixo",IF(VLOOKUP(BK219,Fundamentus!A:U,4,FALSE)&lt;1.5,"Moderado",IF(VLOOKUP(BK219,Fundamentus!A:U,4,FALSE)&gt;1.5,"Alto","n/a")))</f>
        <v>Alto</v>
      </c>
      <c r="ES219" s="20" t="str">
        <f>IF(VLOOKUP(BK219,Fundamentus!A:U,8,FALSE)&lt;0,"Risco elevado",IF(VLOOKUP(BK219,Fundamentus!A:U,8,FALSE)&lt;1,"Saudável",IF(VLOOKUP(BK219,Fundamentus!A:U,8,FALSE)&lt;3,"Estável",IF(VLOOKUP(BK219,Fundamentus!A:U,8,FALSE)&gt;3,"Alerta","n/a"))))</f>
        <v>Saudável</v>
      </c>
      <c r="ET219" s="36" t="str">
        <f t="shared" si="202"/>
        <v>Ruim</v>
      </c>
      <c r="EU219" s="20" t="str">
        <f>IF(VLOOKUP(BK219,Fundamentus!A:U,12,FALSE)&lt;2,"Subvalorizada",IF(VLOOKUP(BK219,Fundamentus!A:U,12,FALSE)&lt;6,"Muita barata",IF(VLOOKUP(BK219,Fundamentus!A:U,12,FALSE)&lt;6,"Barata",IF(VLOOKUP(BK219,Fundamentus!A:U,12,FALSE)&lt;8,"Atrativa",IF(VLOOKUP(BK219,Fundamentus!A:U,12,FALSE)&gt;8,"Supervalorizada","n/a")))))</f>
        <v>Muita barata</v>
      </c>
      <c r="EW219" s="20" t="str">
        <f>IF(VLOOKUP(BK219,Fundamentus!A:U,17,FALSE)&lt;0.1,"Fraco retorno",IF(VLOOKUP(BK219,Fundamentus!A:U,17,FALSE)&gt;0.1,"Bom retorno","n/a"))</f>
        <v>Fraco retorno</v>
      </c>
      <c r="EX219" s="20" t="str">
        <f>IF(VLOOKUP(BK219,Fundamentus!A:U,16,FALSE)&lt;0.1,"Ineficiente",IF(VLOOKUP(BK219,Fundamentus!A:U,16,FALSE)&gt;0.1,"Eficiente","n/a"))</f>
        <v>Eficiente</v>
      </c>
      <c r="EY219" s="41" t="str">
        <f>IF(VLOOKUP(BK219,Fundamentus!A:U,16,FALSE)&lt;0.1,"Oper. Ineficiente",IF(VLOOKUP(BK219,Fundamentus!A:U,16,FALSE)&gt;0.1,"Oper.Eficiente","n/a"))</f>
        <v>Oper.Eficiente</v>
      </c>
      <c r="EZ219" s="42">
        <f>VLOOKUP(BK219,Fundamentus!A:U,14,FALSE)</f>
        <v>4.0000000000000002E-4</v>
      </c>
      <c r="FA219" s="20" t="str">
        <f>IF(VLOOKUP(BK219,Fundamentus!A:U,21,FALSE)&lt;0,"Negativo",IF(VLOOKUP(BK219,Fundamentus!A:U,21,FALSE)&lt;0.05,"Fraco",IF(VLOOKUP(BK219,Fundamentus!A:U,21,FALSE)&lt;0.1,"Bom",IF(VLOOKUP(BK219,Fundamentus!A:U,21,FALSE)&gt;0.1,"Muito bom","n/a"))))</f>
        <v>Muito bom</v>
      </c>
      <c r="FC219" s="37" t="str">
        <f>IF(VLOOKUP(BK219,Fundamentus!A:U,15,FALSE)&gt;1,"Bom",IF(VLOOKUP(BK219,Fundamentus!A:U,15,FALSE)&lt;1,"Ruim","n/a"))</f>
        <v>Bom</v>
      </c>
      <c r="FD219" s="20" t="str">
        <f>IF(VLOOKUP(BK219,Fundamentus!A:U,20,FALSE)&lt;0.5,"Baixa",IF(VLOOKUP(BK219,Fundamentus!A:U,20,FALSE)&lt;1,"Moderada",IF(VLOOKUP(BK219,Fundamentus!A:U,20,FALSE)&lt;2,"Alerta",IF(VLOOKUP(BK219,Fundamentus!A:U,20,FALSE)&gt;2,"Alta","n/a"))))</f>
        <v>Alta</v>
      </c>
    </row>
    <row r="220" spans="1:161"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8">
        <v>8.11</v>
      </c>
      <c r="BC220" s="62">
        <v>8.06</v>
      </c>
      <c r="BD220" s="62">
        <v>8.11</v>
      </c>
      <c r="BE220" s="62">
        <v>8.5399999999999991</v>
      </c>
      <c r="BF220" s="62">
        <v>8.1</v>
      </c>
      <c r="BG220" s="81">
        <v>8.01</v>
      </c>
      <c r="BH220" s="62">
        <v>8.02</v>
      </c>
      <c r="BI220" s="62">
        <v>8.48</v>
      </c>
      <c r="BJ220" s="62" cm="1">
        <f t="array" aca="1" ref="BJ220" ca="1">_FV(EH220,"Preço")</f>
        <v>8.49</v>
      </c>
      <c r="BK220" s="80" t="s">
        <v>216</v>
      </c>
      <c r="BL220" s="44" cm="1">
        <f t="array" aca="1" ref="BL220" ca="1">_FV(EH220,"Média de volume",TRUE)</f>
        <v>570810</v>
      </c>
      <c r="BM220" s="44">
        <v>518200</v>
      </c>
      <c r="BN220" s="44" cm="1">
        <f t="array" aca="1" ref="BN220" ca="1">_FV(EH220,"Volume")</f>
        <v>216700</v>
      </c>
      <c r="BO220" s="32" cm="1">
        <f t="array" aca="1" ref="BO220" ca="1">_FV(EH220,"Beta")</f>
        <v>2.1236000000000002</v>
      </c>
      <c r="BP220" s="86" cm="1">
        <f t="array" aca="1" ref="BP220" ca="1">_FV(EH220,"Variação (%)",TRUE)</f>
        <v>1.1790000000000001E-3</v>
      </c>
      <c r="BQ220" s="48"/>
      <c r="BR220" s="48"/>
      <c r="BT220" s="20" cm="1">
        <f t="array" aca="1" ref="BT220" ca="1">_FV(EH220,"Baixo")</f>
        <v>8.33</v>
      </c>
      <c r="BU220" s="20" cm="1">
        <f t="array" aca="1" ref="BU220" ca="1">_FV(EH220,"Alto")</f>
        <v>8.59</v>
      </c>
      <c r="BV220" s="32"/>
      <c r="BW220" s="73">
        <f ca="1">SQRT(22.5*(BJ220/VLOOKUP(BK220,Fundamentus!A:U,3,FALSE))*(BJ220/VLOOKUP(BK220,Fundamentus!A:U,4,FALSE)))</f>
        <v>13.353870120906313</v>
      </c>
      <c r="BY220" s="72">
        <f t="shared" ca="1" si="198"/>
        <v>1.1792452830188427E-3</v>
      </c>
      <c r="BZ220" s="8"/>
      <c r="CA220" s="71">
        <f t="shared" si="205"/>
        <v>5.71</v>
      </c>
      <c r="CB220" s="71">
        <f t="shared" si="199"/>
        <v>8.93</v>
      </c>
      <c r="CC220" s="71">
        <f t="shared" si="206"/>
        <v>7.4629508196721295</v>
      </c>
      <c r="CD220" s="17"/>
      <c r="CE220" s="43">
        <f t="shared" si="203"/>
        <v>8.055454814098578</v>
      </c>
      <c r="CF220" s="18">
        <f>FORECAST("04/07/2025", BF220:BI220, $BF$5:$BI$5)</f>
        <v>8.4400000000000546</v>
      </c>
      <c r="CG220" s="43">
        <f t="shared" si="204"/>
        <v>8.8245451859015311</v>
      </c>
      <c r="CI220" s="17"/>
      <c r="CJ220" s="20">
        <f>CA220-2*(CB220-CM220)</f>
        <v>3.2633333333333345</v>
      </c>
      <c r="CK220" s="20">
        <f>CM220-(CB220-CA220)</f>
        <v>4.4866666666666672</v>
      </c>
      <c r="CL220" s="20">
        <f>2*CM220-CB220</f>
        <v>6.4833333333333343</v>
      </c>
      <c r="CM220" s="48">
        <f>(CB220+CA220+BI220)/3</f>
        <v>7.706666666666667</v>
      </c>
      <c r="CN220" s="20">
        <f>2*CM220-CA220</f>
        <v>9.7033333333333331</v>
      </c>
      <c r="CO220" s="20">
        <f>CM220+(CB220-CA220)</f>
        <v>10.926666666666666</v>
      </c>
      <c r="CP220" s="20">
        <f>CB220+2*(CM220-CA220)</f>
        <v>12.923333333333334</v>
      </c>
      <c r="CQ220" s="2" cm="1">
        <f t="array" aca="1" ref="CQ220" ca="1">MAX(_xlfn._xlws.FILTER(CJ220:CP220,CJ220:CP220&lt;BJ220))</f>
        <v>7.706666666666667</v>
      </c>
      <c r="CR220" s="2" cm="1">
        <f t="array" aca="1" ref="CR220" ca="1">MIN(_xlfn._xlws.FILTER($CJ220:$CP220,$CJ220:$CP220&gt;BJ220))</f>
        <v>9.7033333333333331</v>
      </c>
      <c r="CS220" s="19">
        <f t="shared" ca="1" si="207"/>
        <v>0.25908304498269885</v>
      </c>
      <c r="CT220" s="23">
        <f t="shared" ca="1" si="208"/>
        <v>-0.12954152249134943</v>
      </c>
      <c r="CU220" s="23">
        <f t="shared" ca="1" si="209"/>
        <v>-8.6361014994232946E-2</v>
      </c>
      <c r="CV220" s="23">
        <f t="shared" ca="1" si="210"/>
        <v>-5.1816608996539767E-2</v>
      </c>
      <c r="CW220" s="23">
        <f t="shared" ca="1" si="211"/>
        <v>-2.878700499807765E-2</v>
      </c>
      <c r="CX220" s="23">
        <f t="shared" ca="1" si="212"/>
        <v>-1.5240179116629345E-2</v>
      </c>
      <c r="CY220" s="23">
        <f t="shared" ca="1" si="213"/>
        <v>-7.8510013631120871E-3</v>
      </c>
      <c r="CZ220" s="23">
        <f t="shared" ca="1" si="214"/>
        <v>-3.9858929997338283E-3</v>
      </c>
      <c r="DA220" s="24">
        <f t="shared" ca="1" si="215"/>
        <v>3.9858929997338283E-3</v>
      </c>
      <c r="DB220" s="24">
        <f t="shared" ca="1" si="216"/>
        <v>7.8510013631120871E-3</v>
      </c>
      <c r="DC220" s="24">
        <f t="shared" ca="1" si="217"/>
        <v>1.5240179116629345E-2</v>
      </c>
      <c r="DD220" s="24">
        <f t="shared" ca="1" si="218"/>
        <v>2.878700499807765E-2</v>
      </c>
      <c r="DE220" s="24">
        <f t="shared" ca="1" si="219"/>
        <v>5.1816608996539767E-2</v>
      </c>
      <c r="DF220" s="24">
        <f t="shared" ca="1" si="220"/>
        <v>8.6361014994232946E-2</v>
      </c>
      <c r="DG220" s="24">
        <f t="shared" ca="1" si="221"/>
        <v>0.12954152249134943</v>
      </c>
      <c r="DI220" s="19" cm="1">
        <f t="array" aca="1" ref="DI220" ca="1">MAX(_xlfn._xlws.FILTER(CT220:DG220,CT220:DG220&lt;BP220))</f>
        <v>-3.9858929997338283E-3</v>
      </c>
      <c r="DJ220" s="19" cm="1">
        <f t="array" aca="1" ref="DJ220" ca="1">MIN(_xlfn._xlws.FILTER(CT220:DG220,CT220:DG220&gt;BP220))</f>
        <v>3.9858929997338283E-3</v>
      </c>
      <c r="DK220" s="2" cm="1">
        <f t="array" aca="1" ref="DK220" ca="1">_FV(EH220,"Fechamento anterior",TRUE)</f>
        <v>8.48</v>
      </c>
      <c r="DL220" s="36">
        <f ca="1">(BJ220-DM220)/(DN220-DM220)</f>
        <v>0.64792736321542144</v>
      </c>
      <c r="DM220" s="18">
        <f t="shared" ca="1" si="222"/>
        <v>8.4461996273622582</v>
      </c>
      <c r="DN220" s="18">
        <f t="shared" ca="1" si="223"/>
        <v>8.5138003726377427</v>
      </c>
      <c r="DO220" s="9"/>
      <c r="DP220" s="9"/>
      <c r="DQ220" s="94">
        <v>1.4010390480978723E-2</v>
      </c>
      <c r="DR220" s="94">
        <v>2.3817663817663835E-2</v>
      </c>
      <c r="DS220" s="94">
        <v>1.2742933818118864E-2</v>
      </c>
      <c r="DT220" s="94">
        <f t="shared" ca="1" si="200"/>
        <v>7.9717859994676565E-3</v>
      </c>
      <c r="DU220" s="87">
        <f ca="1">(BJ220-CF220)/(CF220-CE220)</f>
        <v>0.130023731496553</v>
      </c>
      <c r="DV220" s="46"/>
      <c r="DW220" s="43">
        <f>_xlfn.STDEV.P(BF220:BI220)</f>
        <v>0.19227259295073784</v>
      </c>
      <c r="DX220" s="76">
        <f ca="1">BO220-$DT$2</f>
        <v>1.1265000000000001</v>
      </c>
      <c r="DY220" s="76">
        <f ca="1">BO220-BP220*100</f>
        <v>2.0057</v>
      </c>
      <c r="DZ220" s="101"/>
      <c r="EA220" s="100">
        <v>-6.7199999999999704E-2</v>
      </c>
      <c r="EB220" s="107">
        <v>-0.59410000000000007</v>
      </c>
      <c r="EC220" s="107">
        <v>1.1332999999999998</v>
      </c>
      <c r="ED220" s="98">
        <f t="shared" ca="1" si="196"/>
        <v>-0.87919999999999998</v>
      </c>
      <c r="EE220" s="66"/>
      <c r="EF220" s="66"/>
      <c r="EH220" s="2" t="e" vm="222">
        <v>#VALUE!</v>
      </c>
      <c r="EJ220" s="10" cm="1">
        <f t="array" aca="1" ref="EJ220" ca="1">_FV(EH220,"Ações em circulação",TRUE)</f>
        <v>499200000</v>
      </c>
      <c r="EK220" s="21">
        <f>VLOOKUP(BK220,Fundamentus!A:U,5,FALSE)</f>
        <v>0.40600000000000003</v>
      </c>
      <c r="EL220" s="2">
        <f ca="1">(BJ220*EJ220)/EK220</f>
        <v>10438935960.591133</v>
      </c>
      <c r="EM220" s="20">
        <v>345121797.04433489</v>
      </c>
      <c r="EN220" s="20">
        <f t="shared" ca="1" si="201"/>
        <v>345528780.2955665</v>
      </c>
      <c r="EP220" s="19">
        <f t="shared" ca="1" si="197"/>
        <v>1.1792452830190481E-3</v>
      </c>
      <c r="EQ220" s="40" t="str">
        <f>IF(VLOOKUP(BK220,Fundamentus!A:U,3,FALSE)&lt;15,"Bom",IF(VLOOKUP(BK220,Fundamentus!A:U,3,FALSE)&gt;15,"Ruim","n/a"))</f>
        <v>Bom</v>
      </c>
      <c r="ER220" s="36" t="str">
        <f>IF(VLOOKUP(BK220,Fundamentus!A:U,4,FALSE)&lt;1,"Baixo",IF(VLOOKUP(BK220,Fundamentus!A:U,4,FALSE)&lt;1.5,"Moderado",IF(VLOOKUP(BK220,Fundamentus!A:U,4,FALSE)&gt;1.5,"Alto","n/a")))</f>
        <v>Baixo</v>
      </c>
      <c r="ES220" s="20" t="str">
        <f>IF(VLOOKUP(BK220,Fundamentus!A:U,8,FALSE)&lt;0,"Risco elevado",IF(VLOOKUP(BK220,Fundamentus!A:U,8,FALSE)&lt;1,"Saudável",IF(VLOOKUP(BK220,Fundamentus!A:U,8,FALSE)&lt;3,"Estável",IF(VLOOKUP(BK220,Fundamentus!A:U,8,FALSE)&gt;3,"Alerta","n/a"))))</f>
        <v>Estável</v>
      </c>
      <c r="ET220" s="36" t="str">
        <f t="shared" si="202"/>
        <v>Ruim</v>
      </c>
      <c r="EU220" s="20" t="str">
        <f>IF(VLOOKUP(BK220,Fundamentus!A:U,12,FALSE)&lt;2,"Subvalorizada",IF(VLOOKUP(BK220,Fundamentus!A:U,12,FALSE)&lt;6,"Muita barata",IF(VLOOKUP(BK220,Fundamentus!A:U,12,FALSE)&lt;6,"Barata",IF(VLOOKUP(BK220,Fundamentus!A:U,12,FALSE)&lt;8,"Atrativa",IF(VLOOKUP(BK220,Fundamentus!A:U,12,FALSE)&gt;8,"Supervalorizada","n/a")))))</f>
        <v>Muita barata</v>
      </c>
      <c r="EW220" s="20" t="str">
        <f>IF(VLOOKUP(BK220,Fundamentus!A:U,17,FALSE)&lt;0.1,"Fraco retorno",IF(VLOOKUP(BK220,Fundamentus!A:U,17,FALSE)&gt;0.1,"Bom retorno","n/a"))</f>
        <v>Fraco retorno</v>
      </c>
      <c r="EX220" s="20" t="str">
        <f>IF(VLOOKUP(BK220,Fundamentus!A:U,16,FALSE)&lt;0.1,"Ineficiente",IF(VLOOKUP(BK220,Fundamentus!A:U,16,FALSE)&gt;0.1,"Eficiente","n/a"))</f>
        <v>Ineficiente</v>
      </c>
      <c r="EY220" s="41" t="str">
        <f>IF(VLOOKUP(BK220,Fundamentus!A:U,16,FALSE)&lt;0.1,"Oper. Ineficiente",IF(VLOOKUP(BK220,Fundamentus!A:U,16,FALSE)&gt;0.1,"Oper.Eficiente","n/a"))</f>
        <v>Oper. Ineficiente</v>
      </c>
      <c r="EZ220" s="42">
        <f>VLOOKUP(BK220,Fundamentus!A:U,14,FALSE)</f>
        <v>3.3099999999999997E-2</v>
      </c>
      <c r="FA220" s="20" t="str">
        <f>IF(VLOOKUP(BK220,Fundamentus!A:U,21,FALSE)&lt;0,"Negativo",IF(VLOOKUP(BK220,Fundamentus!A:U,21,FALSE)&lt;0.05,"Fraco",IF(VLOOKUP(BK220,Fundamentus!A:U,21,FALSE)&lt;0.1,"Bom",IF(VLOOKUP(BK220,Fundamentus!A:U,21,FALSE)&gt;0.1,"Muito bom","n/a"))))</f>
        <v>Muito bom</v>
      </c>
      <c r="FC220" s="37" t="str">
        <f>IF(VLOOKUP(BK220,Fundamentus!A:U,15,FALSE)&gt;1,"Bom",IF(VLOOKUP(BK220,Fundamentus!A:U,15,FALSE)&lt;1,"Ruim","n/a"))</f>
        <v>Bom</v>
      </c>
      <c r="FD220" s="20" t="str">
        <f>IF(VLOOKUP(BK220,Fundamentus!A:U,20,FALSE)&lt;0.5,"Baixa",IF(VLOOKUP(BK220,Fundamentus!A:U,20,FALSE)&lt;1,"Moderada",IF(VLOOKUP(BK220,Fundamentus!A:U,20,FALSE)&lt;2,"Alerta",IF(VLOOKUP(BK220,Fundamentus!A:U,20,FALSE)&gt;2,"Alta","n/a"))))</f>
        <v>Baixa</v>
      </c>
    </row>
    <row r="221" spans="1:161" s="2" customFormat="1" ht="11.25" hidden="1"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8">
        <v>1.64</v>
      </c>
      <c r="BC221" s="62">
        <v>1.64</v>
      </c>
      <c r="BD221" s="62">
        <v>1.64</v>
      </c>
      <c r="BE221" s="62">
        <v>1.64</v>
      </c>
      <c r="BF221" s="62">
        <v>1.64</v>
      </c>
      <c r="BG221" s="81">
        <v>1.64</v>
      </c>
      <c r="BH221" s="62">
        <v>1.64</v>
      </c>
      <c r="BI221" s="62">
        <v>1.64</v>
      </c>
      <c r="BJ221" s="62" cm="1">
        <f t="array" aca="1" ref="BJ221" ca="1">_FV(EH221,"Preço")</f>
        <v>1.64</v>
      </c>
      <c r="BK221" s="83" t="s">
        <v>217</v>
      </c>
      <c r="BL221" s="44" t="e" cm="1" vm="3">
        <f t="array" ref="BL221">_FV(EH221,"Média de volume",TRUE)</f>
        <v>#VALUE!</v>
      </c>
      <c r="BM221" s="44">
        <v>19800</v>
      </c>
      <c r="BN221" s="44" cm="1">
        <f t="array" aca="1" ref="BN221" ca="1">_FV(EH221,"Volume")</f>
        <v>19800</v>
      </c>
      <c r="BO221" s="32" cm="1">
        <f t="array" aca="1" ref="BO221" ca="1">_FV(EH221,"Beta")</f>
        <v>1.9915</v>
      </c>
      <c r="BP221" s="86" cm="1">
        <f t="array" aca="1" ref="BP221" ca="1">_FV(EH221,"Variação (%)",TRUE)</f>
        <v>-6.2856999999999996E-2</v>
      </c>
      <c r="BQ221" s="48"/>
      <c r="BR221" s="48"/>
      <c r="BT221" s="20" cm="1">
        <f t="array" aca="1" ref="BT221" ca="1">_FV(EH221,"Baixo")</f>
        <v>1.64</v>
      </c>
      <c r="BU221" s="20" cm="1">
        <f t="array" aca="1" ref="BU221" ca="1">_FV(EH221,"Alto")</f>
        <v>1.64</v>
      </c>
      <c r="BV221" s="32"/>
      <c r="BW221" s="73" t="e">
        <f ca="1">SQRT(22.5*(BJ221/VLOOKUP(BK221,Fundamentus!A:U,3,FALSE))*(BJ221/VLOOKUP(BK221,Fundamentus!A:U,4,FALSE)))</f>
        <v>#N/A</v>
      </c>
      <c r="BY221" s="72">
        <f t="shared" ca="1" si="198"/>
        <v>0</v>
      </c>
      <c r="BZ221" s="8"/>
      <c r="CA221" s="71">
        <f t="shared" si="205"/>
        <v>0.36</v>
      </c>
      <c r="CB221" s="71">
        <f t="shared" si="199"/>
        <v>2.34</v>
      </c>
      <c r="CC221" s="71">
        <f t="shared" si="206"/>
        <v>1.5077049180327873</v>
      </c>
      <c r="CD221" s="17"/>
      <c r="CE221" s="43">
        <f t="shared" si="203"/>
        <v>1.64</v>
      </c>
      <c r="CF221" s="18">
        <f>FORECAST("04/07/2025", BF221:BI221, $BF$5:$BI$5)</f>
        <v>1.64</v>
      </c>
      <c r="CG221" s="43">
        <f t="shared" si="204"/>
        <v>1.64</v>
      </c>
      <c r="CI221" s="17"/>
      <c r="CJ221" s="20">
        <f>CA221-2*(CB221-CM221)</f>
        <v>-1.4266666666666667</v>
      </c>
      <c r="CK221" s="20">
        <f>CM221-(CB221-CA221)</f>
        <v>-0.53333333333333344</v>
      </c>
      <c r="CL221" s="20">
        <f>2*CM221-CB221</f>
        <v>0.55333333333333323</v>
      </c>
      <c r="CM221" s="48">
        <f>(CB221+CA221+BI221)/3</f>
        <v>1.4466666666666665</v>
      </c>
      <c r="CN221" s="20">
        <f>2*CM221-CA221</f>
        <v>2.5333333333333332</v>
      </c>
      <c r="CO221" s="20">
        <f>CM221+(CB221-CA221)</f>
        <v>3.4266666666666667</v>
      </c>
      <c r="CP221" s="20">
        <f>CB221+2*(CM221-CA221)</f>
        <v>4.5133333333333328</v>
      </c>
      <c r="CQ221" s="2" cm="1">
        <f t="array" aca="1" ref="CQ221" ca="1">MAX(_xlfn._xlws.FILTER(CJ221:CP221,CJ221:CP221&lt;BJ221))</f>
        <v>1.4466666666666665</v>
      </c>
      <c r="CR221" s="2" cm="1">
        <f t="array" aca="1" ref="CR221" ca="1">MIN(_xlfn._xlws.FILTER($CJ221:$CP221,$CJ221:$CP221&gt;BJ221))</f>
        <v>2.5333333333333332</v>
      </c>
      <c r="CS221" s="19">
        <f t="shared" ca="1" si="207"/>
        <v>0.75115207373271886</v>
      </c>
      <c r="CT221" s="23">
        <f t="shared" ca="1" si="208"/>
        <v>-0.37557603686635943</v>
      </c>
      <c r="CU221" s="23">
        <f t="shared" ca="1" si="209"/>
        <v>-0.25038402457757297</v>
      </c>
      <c r="CV221" s="23">
        <f t="shared" ca="1" si="210"/>
        <v>-0.15023041474654378</v>
      </c>
      <c r="CW221" s="23">
        <f t="shared" ca="1" si="211"/>
        <v>-8.3461341525857657E-2</v>
      </c>
      <c r="CX221" s="23">
        <f t="shared" ca="1" si="212"/>
        <v>-4.4185416101924641E-2</v>
      </c>
      <c r="CY221" s="23">
        <f t="shared" ca="1" si="213"/>
        <v>-2.2762184052506632E-2</v>
      </c>
      <c r="CZ221" s="23">
        <f t="shared" ca="1" si="214"/>
        <v>-1.1556185749734136E-2</v>
      </c>
      <c r="DA221" s="24">
        <f t="shared" ca="1" si="215"/>
        <v>1.1556185749734136E-2</v>
      </c>
      <c r="DB221" s="24">
        <f t="shared" ca="1" si="216"/>
        <v>2.2762184052506632E-2</v>
      </c>
      <c r="DC221" s="24">
        <f t="shared" ca="1" si="217"/>
        <v>4.4185416101924641E-2</v>
      </c>
      <c r="DD221" s="24">
        <f t="shared" ca="1" si="218"/>
        <v>8.3461341525857657E-2</v>
      </c>
      <c r="DE221" s="24">
        <f t="shared" ca="1" si="219"/>
        <v>0.15023041474654378</v>
      </c>
      <c r="DF221" s="24">
        <f t="shared" ca="1" si="220"/>
        <v>0.25038402457757297</v>
      </c>
      <c r="DG221" s="24">
        <f t="shared" ca="1" si="221"/>
        <v>0.37557603686635943</v>
      </c>
      <c r="DI221" s="19" cm="1">
        <f t="array" aca="1" ref="DI221" ca="1">MAX(_xlfn._xlws.FILTER(CT221:DG221,CT221:DG221&lt;BP221))</f>
        <v>-8.3461341525857657E-2</v>
      </c>
      <c r="DJ221" s="19" cm="1">
        <f t="array" aca="1" ref="DJ221" ca="1">MIN(_xlfn._xlws.FILTER(CT221:DG221,CT221:DG221&gt;BP221))</f>
        <v>-4.4185416101924641E-2</v>
      </c>
      <c r="DK221" s="2" cm="1">
        <f t="array" aca="1" ref="DK221" ca="1">_FV(EH221,"Fechamento anterior",TRUE)</f>
        <v>1.75</v>
      </c>
      <c r="DL221" s="36">
        <f ca="1">(BJ221-DM221)/(DN221-DM221)</f>
        <v>0.52460122699386424</v>
      </c>
      <c r="DM221" s="18">
        <f t="shared" ca="1" si="222"/>
        <v>1.6039426523297491</v>
      </c>
      <c r="DN221" s="18">
        <f t="shared" ca="1" si="223"/>
        <v>1.6726755218216318</v>
      </c>
      <c r="DO221" s="9"/>
      <c r="DP221" s="9"/>
      <c r="DQ221" s="94">
        <v>3.596660244059089E-2</v>
      </c>
      <c r="DR221" s="94">
        <v>3.596660244059089E-2</v>
      </c>
      <c r="DS221" s="94">
        <v>3.9275925423933017E-2</v>
      </c>
      <c r="DT221" s="94">
        <f t="shared" ca="1" si="200"/>
        <v>3.9275925423933017E-2</v>
      </c>
      <c r="DU221" s="87" t="e">
        <f ca="1">(BJ221-CF221)/(CF221-CE221)</f>
        <v>#DIV/0!</v>
      </c>
      <c r="DV221" s="46"/>
      <c r="DW221" s="43">
        <f>_xlfn.STDEV.P(BF221:BI221)</f>
        <v>0</v>
      </c>
      <c r="DX221" s="76">
        <f ca="1">BO221-$DT$2</f>
        <v>0.99439999999999995</v>
      </c>
      <c r="DY221" s="76">
        <f ca="1">BO221-BP221*100</f>
        <v>8.2771999999999988</v>
      </c>
      <c r="DZ221" s="101"/>
      <c r="EA221" s="100">
        <v>-5.9869999999999983</v>
      </c>
      <c r="EB221" s="107">
        <v>-5.0437999999999992</v>
      </c>
      <c r="EC221" s="107">
        <v>-6.1047999999999991</v>
      </c>
      <c r="ED221" s="98">
        <f t="shared" ca="1" si="196"/>
        <v>-7.2827999999999991</v>
      </c>
      <c r="EE221" s="66"/>
      <c r="EF221" s="66"/>
      <c r="EH221" s="2" t="e" vm="223">
        <v>#VALUE!</v>
      </c>
      <c r="EJ221" s="10" cm="1">
        <f t="array" aca="1" ref="EJ221" ca="1">_FV(EH221,"Ações em circulação",TRUE)</f>
        <v>10000000</v>
      </c>
      <c r="EK221" s="21" t="e">
        <f>VLOOKUP(BK221,Fundamentus!A:U,5,FALSE)</f>
        <v>#N/A</v>
      </c>
      <c r="EL221" s="2" t="e">
        <f ca="1">(BJ221*EJ221)/EK221</f>
        <v>#N/A</v>
      </c>
      <c r="EM221" s="20" t="e">
        <v>#N/A</v>
      </c>
      <c r="EN221" s="20" t="e">
        <f t="shared" ca="1" si="201"/>
        <v>#N/A</v>
      </c>
      <c r="EP221" s="19" t="e">
        <f t="shared" ca="1" si="197"/>
        <v>#N/A</v>
      </c>
      <c r="EQ221" s="40" t="e">
        <f>IF(VLOOKUP(BK221,Fundamentus!A:U,3,FALSE)&lt;15,"Bom",IF(VLOOKUP(BK221,Fundamentus!A:U,3,FALSE)&gt;15,"Ruim","n/a"))</f>
        <v>#N/A</v>
      </c>
      <c r="ER221" s="36" t="e">
        <f>IF(VLOOKUP(BK221,Fundamentus!A:U,4,FALSE)&lt;1,"Baixo",IF(VLOOKUP(BK221,Fundamentus!A:U,4,FALSE)&lt;1.5,"Moderado",IF(VLOOKUP(BK221,Fundamentus!A:U,4,FALSE)&gt;1.5,"Alto","n/a")))</f>
        <v>#N/A</v>
      </c>
      <c r="ES221" s="20" t="e">
        <f>IF(VLOOKUP(BK221,Fundamentus!A:U,8,FALSE)&lt;0,"Risco elevado",IF(VLOOKUP(BK221,Fundamentus!A:U,8,FALSE)&lt;1,"Saudável",IF(VLOOKUP(BK221,Fundamentus!A:U,8,FALSE)&lt;3,"Estável",IF(VLOOKUP(BK221,Fundamentus!A:U,8,FALSE)&gt;3,"Alerta","n/a"))))</f>
        <v>#N/A</v>
      </c>
      <c r="ET221" s="36" t="e">
        <f t="shared" si="202"/>
        <v>#N/A</v>
      </c>
      <c r="EU221" s="20" t="e">
        <f>IF(VLOOKUP(BK221,Fundamentus!A:U,12,FALSE)&lt;2,"Subvalorizada",IF(VLOOKUP(BK221,Fundamentus!A:U,12,FALSE)&lt;6,"Muita barata",IF(VLOOKUP(BK221,Fundamentus!A:U,12,FALSE)&lt;6,"Barata",IF(VLOOKUP(BK221,Fundamentus!A:U,12,FALSE)&lt;8,"Atrativa",IF(VLOOKUP(BK221,Fundamentus!A:U,12,FALSE)&gt;8,"Supervalorizada","n/a")))))</f>
        <v>#N/A</v>
      </c>
      <c r="EW221" s="20" t="e">
        <f>IF(VLOOKUP(BK221,Fundamentus!A:U,17,FALSE)&lt;0.1,"Fraco retorno",IF(VLOOKUP(BK221,Fundamentus!A:U,17,FALSE)&gt;0.1,"Bom retorno","n/a"))</f>
        <v>#N/A</v>
      </c>
      <c r="EX221" s="20" t="e">
        <f>IF(VLOOKUP(BK221,Fundamentus!A:U,16,FALSE)&lt;0.1,"Ineficiente",IF(VLOOKUP(BK221,Fundamentus!A:U,16,FALSE)&gt;0.1,"Eficiente","n/a"))</f>
        <v>#N/A</v>
      </c>
      <c r="EY221" s="41" t="e">
        <f>IF(VLOOKUP(BK221,Fundamentus!A:U,16,FALSE)&lt;0.1,"Oper. Ineficiente",IF(VLOOKUP(BK221,Fundamentus!A:U,16,FALSE)&gt;0.1,"Oper.Eficiente","n/a"))</f>
        <v>#N/A</v>
      </c>
      <c r="EZ221" s="42" t="e">
        <f>VLOOKUP(BK221,Fundamentus!A:U,14,FALSE)</f>
        <v>#N/A</v>
      </c>
      <c r="FA221" s="20" t="e">
        <f>IF(VLOOKUP(BK221,Fundamentus!A:U,21,FALSE)&lt;0,"Negativo",IF(VLOOKUP(BK221,Fundamentus!A:U,21,FALSE)&lt;0.05,"Fraco",IF(VLOOKUP(BK221,Fundamentus!A:U,21,FALSE)&lt;0.1,"Bom",IF(VLOOKUP(BK221,Fundamentus!A:U,21,FALSE)&gt;0.1,"Muito bom","n/a"))))</f>
        <v>#N/A</v>
      </c>
      <c r="FC221" s="37" t="e">
        <f>IF(VLOOKUP(BK221,Fundamentus!A:U,15,FALSE)&gt;1,"Bom",IF(VLOOKUP(BK221,Fundamentus!A:U,15,FALSE)&lt;1,"Ruim","n/a"))</f>
        <v>#N/A</v>
      </c>
      <c r="FD221" s="20" t="e">
        <f>IF(VLOOKUP(BK221,Fundamentus!A:U,20,FALSE)&lt;0.5,"Baixa",IF(VLOOKUP(BK221,Fundamentus!A:U,20,FALSE)&lt;1,"Moderada",IF(VLOOKUP(BK221,Fundamentus!A:U,20,FALSE)&lt;2,"Alerta",IF(VLOOKUP(BK221,Fundamentus!A:U,20,FALSE)&gt;2,"Alta","n/a"))))</f>
        <v>#N/A</v>
      </c>
    </row>
    <row r="222" spans="1:161" s="2" customFormat="1" ht="11.25" hidden="1"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8">
        <v>3.03</v>
      </c>
      <c r="BC222" s="62">
        <v>3.11</v>
      </c>
      <c r="BD222" s="62">
        <v>2.9</v>
      </c>
      <c r="BE222" s="62">
        <v>2.97</v>
      </c>
      <c r="BF222" s="62">
        <v>2.91</v>
      </c>
      <c r="BG222" s="81">
        <v>2.79</v>
      </c>
      <c r="BH222" s="62">
        <v>2.82</v>
      </c>
      <c r="BI222" s="62">
        <v>2.79</v>
      </c>
      <c r="BJ222" s="62" cm="1">
        <f t="array" aca="1" ref="BJ222" ca="1">_FV(EH222,"Preço")</f>
        <v>2.78</v>
      </c>
      <c r="BK222" s="83" t="s">
        <v>218</v>
      </c>
      <c r="BL222" s="44" cm="1">
        <f t="array" aca="1" ref="BL222" ca="1">_FV(EH222,"Média de volume",TRUE)</f>
        <v>32903570</v>
      </c>
      <c r="BM222" s="44">
        <v>30246300</v>
      </c>
      <c r="BN222" s="44" cm="1">
        <f t="array" aca="1" ref="BN222" ca="1">_FV(EH222,"Volume")</f>
        <v>9275700</v>
      </c>
      <c r="BO222" s="32" cm="1">
        <f t="array" aca="1" ref="BO222" ca="1">_FV(EH222,"Beta")</f>
        <v>1.9981</v>
      </c>
      <c r="BP222" s="86" cm="1">
        <f t="array" aca="1" ref="BP222" ca="1">_FV(EH222,"Variação (%)",TRUE)</f>
        <v>-3.5839999999999999E-3</v>
      </c>
      <c r="BQ222" s="48"/>
      <c r="BR222" s="48"/>
      <c r="BT222" s="20" cm="1">
        <f t="array" aca="1" ref="BT222" ca="1">_FV(EH222,"Baixo")</f>
        <v>2.75</v>
      </c>
      <c r="BU222" s="20" cm="1">
        <f t="array" aca="1" ref="BU222" ca="1">_FV(EH222,"Alto")</f>
        <v>2.81</v>
      </c>
      <c r="BV222" s="32"/>
      <c r="BW222" s="73">
        <f ca="1">SQRT(22.5*(BJ222/VLOOKUP(BK222,Fundamentus!A:U,3,FALSE))*(BJ222/VLOOKUP(BK222,Fundamentus!A:U,4,FALSE)))</f>
        <v>8.8217672151979105</v>
      </c>
      <c r="BY222" s="72">
        <f t="shared" ca="1" si="198"/>
        <v>-3.5842293906810864E-3</v>
      </c>
      <c r="BZ222" s="8"/>
      <c r="CA222" s="71">
        <f t="shared" si="205"/>
        <v>1.06</v>
      </c>
      <c r="CB222" s="71">
        <f t="shared" si="199"/>
        <v>3.11</v>
      </c>
      <c r="CC222" s="71">
        <f t="shared" si="206"/>
        <v>1.7846721311475411</v>
      </c>
      <c r="CD222" s="17"/>
      <c r="CE222" s="43">
        <f t="shared" si="203"/>
        <v>2.6466384221354744</v>
      </c>
      <c r="CF222" s="18">
        <f>FORECAST("04/07/2025", BF222:BI222, $BF$5:$BI$5)</f>
        <v>2.7450000000000045</v>
      </c>
      <c r="CG222" s="43">
        <f t="shared" si="204"/>
        <v>2.8433615778645347</v>
      </c>
      <c r="CI222" s="17"/>
      <c r="CJ222" s="20">
        <f>CA222-2*(CB222-CM222)</f>
        <v>-0.52</v>
      </c>
      <c r="CK222" s="20">
        <f>CM222-(CB222-CA222)</f>
        <v>0.27</v>
      </c>
      <c r="CL222" s="20">
        <f>2*CM222-CB222</f>
        <v>1.5299999999999998</v>
      </c>
      <c r="CM222" s="48">
        <f>(CB222+CA222+BI222)/3</f>
        <v>2.3199999999999998</v>
      </c>
      <c r="CN222" s="20">
        <f>2*CM222-CA222</f>
        <v>3.5799999999999996</v>
      </c>
      <c r="CO222" s="20">
        <f>CM222+(CB222-CA222)</f>
        <v>4.3699999999999992</v>
      </c>
      <c r="CP222" s="20">
        <f>CB222+2*(CM222-CA222)</f>
        <v>5.629999999999999</v>
      </c>
      <c r="CQ222" s="2" cm="1">
        <f t="array" aca="1" ref="CQ222" ca="1">MAX(_xlfn._xlws.FILTER(CJ222:CP222,CJ222:CP222&lt;BJ222))</f>
        <v>2.3199999999999998</v>
      </c>
      <c r="CR222" s="2" cm="1">
        <f t="array" aca="1" ref="CR222" ca="1">MIN(_xlfn._xlws.FILTER($CJ222:$CP222,$CJ222:$CP222&gt;BJ222))</f>
        <v>3.5799999999999996</v>
      </c>
      <c r="CS222" s="19">
        <f t="shared" ca="1" si="207"/>
        <v>0.5431034482758621</v>
      </c>
      <c r="CT222" s="23">
        <f t="shared" ca="1" si="208"/>
        <v>-0.27155172413793105</v>
      </c>
      <c r="CU222" s="23">
        <f t="shared" ca="1" si="209"/>
        <v>-0.18103448275862069</v>
      </c>
      <c r="CV222" s="23">
        <f t="shared" ca="1" si="210"/>
        <v>-0.10862068965517242</v>
      </c>
      <c r="CW222" s="23">
        <f t="shared" ca="1" si="211"/>
        <v>-6.0344827586206899E-2</v>
      </c>
      <c r="CX222" s="23">
        <f t="shared" ca="1" si="212"/>
        <v>-3.1947261663286007E-2</v>
      </c>
      <c r="CY222" s="23">
        <f t="shared" ca="1" si="213"/>
        <v>-1.6457680250783702E-2</v>
      </c>
      <c r="CZ222" s="23">
        <f t="shared" ca="1" si="214"/>
        <v>-8.3554376657824937E-3</v>
      </c>
      <c r="DA222" s="24">
        <f t="shared" ca="1" si="215"/>
        <v>8.3554376657824937E-3</v>
      </c>
      <c r="DB222" s="24">
        <f t="shared" ca="1" si="216"/>
        <v>1.6457680250783702E-2</v>
      </c>
      <c r="DC222" s="24">
        <f t="shared" ca="1" si="217"/>
        <v>3.1947261663286007E-2</v>
      </c>
      <c r="DD222" s="24">
        <f t="shared" ca="1" si="218"/>
        <v>6.0344827586206899E-2</v>
      </c>
      <c r="DE222" s="24">
        <f t="shared" ca="1" si="219"/>
        <v>0.10862068965517242</v>
      </c>
      <c r="DF222" s="24">
        <f t="shared" ca="1" si="220"/>
        <v>0.18103448275862069</v>
      </c>
      <c r="DG222" s="24">
        <f t="shared" ca="1" si="221"/>
        <v>0.27155172413793105</v>
      </c>
      <c r="DI222" s="19" cm="1">
        <f t="array" aca="1" ref="DI222" ca="1">MAX(_xlfn._xlws.FILTER(CT222:DG222,CT222:DG222&lt;BP222))</f>
        <v>-8.3554376657824937E-3</v>
      </c>
      <c r="DJ222" s="19" cm="1">
        <f t="array" aca="1" ref="DJ222" ca="1">MIN(_xlfn._xlws.FILTER(CT222:DG222,CT222:DG222&gt;BP222))</f>
        <v>8.3554376657824937E-3</v>
      </c>
      <c r="DK222" s="2" cm="1">
        <f t="array" aca="1" ref="DK222" ca="1">_FV(EH222,"Fechamento anterior",TRUE)</f>
        <v>2.79</v>
      </c>
      <c r="DL222" s="36">
        <f ca="1">(BJ222-DM222)/(DN222-DM222)</f>
        <v>0.28551516185924314</v>
      </c>
      <c r="DM222" s="18">
        <f t="shared" ca="1" si="222"/>
        <v>2.7666883289124669</v>
      </c>
      <c r="DN222" s="18">
        <f t="shared" ca="1" si="223"/>
        <v>2.8133116710875332</v>
      </c>
      <c r="DO222" s="9"/>
      <c r="DP222" s="9"/>
      <c r="DQ222" s="94">
        <v>1.4502695837362625E-2</v>
      </c>
      <c r="DR222" s="94">
        <v>2.658827570183148E-2</v>
      </c>
      <c r="DS222" s="94">
        <v>1.5489581412502305E-2</v>
      </c>
      <c r="DT222" s="94">
        <f t="shared" ca="1" si="200"/>
        <v>1.6710875331564987E-2</v>
      </c>
      <c r="DU222" s="87">
        <f ca="1">(BJ222-CF222)/(CF222-CE222)</f>
        <v>0.3558299974426955</v>
      </c>
      <c r="DV222" s="46"/>
      <c r="DW222" s="43">
        <f>_xlfn.STDEV.P(BF222:BI222)</f>
        <v>4.918078893226506E-2</v>
      </c>
      <c r="DX222" s="76">
        <f ca="1">BO222-$DT$2</f>
        <v>1.0009999999999999</v>
      </c>
      <c r="DY222" s="76">
        <f ca="1">BO222-BP222*100</f>
        <v>2.3565</v>
      </c>
      <c r="DZ222" s="101"/>
      <c r="EA222" s="100">
        <v>2.0110000000000001</v>
      </c>
      <c r="EB222" s="107">
        <v>-3.8086000000000002</v>
      </c>
      <c r="EC222" s="107">
        <v>0.54059999999999997</v>
      </c>
      <c r="ED222" s="98">
        <f t="shared" ca="1" si="196"/>
        <v>-1.3555000000000001</v>
      </c>
      <c r="EE222" s="66"/>
      <c r="EF222" s="66"/>
      <c r="EH222" s="2" t="e" vm="224">
        <v>#VALUE!</v>
      </c>
      <c r="EJ222" s="10" cm="1">
        <f t="array" aca="1" ref="EJ222" ca="1">_FV(EH222,"Ações em circulação",TRUE)</f>
        <v>1876606000</v>
      </c>
      <c r="EK222" s="21">
        <f>VLOOKUP(BK222,Fundamentus!A:U,5,FALSE)</f>
        <v>0.80500000000000005</v>
      </c>
      <c r="EL222" s="2">
        <f ca="1">(BJ222*EJ222)/EK222</f>
        <v>6480701465.8385086</v>
      </c>
      <c r="EM222" s="20">
        <v>1090072636.0546582</v>
      </c>
      <c r="EN222" s="20">
        <f t="shared" ca="1" si="201"/>
        <v>1086165565.6745341</v>
      </c>
      <c r="EP222" s="19">
        <f t="shared" ca="1" si="197"/>
        <v>-3.5842293906809264E-3</v>
      </c>
      <c r="EQ222" s="40" t="str">
        <f>IF(VLOOKUP(BK222,Fundamentus!A:U,3,FALSE)&lt;15,"Bom",IF(VLOOKUP(BK222,Fundamentus!A:U,3,FALSE)&gt;15,"Ruim","n/a"))</f>
        <v>Bom</v>
      </c>
      <c r="ER222" s="36" t="str">
        <f>IF(VLOOKUP(BK222,Fundamentus!A:U,4,FALSE)&lt;1,"Baixo",IF(VLOOKUP(BK222,Fundamentus!A:U,4,FALSE)&lt;1.5,"Moderado",IF(VLOOKUP(BK222,Fundamentus!A:U,4,FALSE)&gt;1.5,"Alto","n/a")))</f>
        <v>Baixo</v>
      </c>
      <c r="ES222" s="20" t="str">
        <f>IF(VLOOKUP(BK222,Fundamentus!A:U,8,FALSE)&lt;0,"Risco elevado",IF(VLOOKUP(BK222,Fundamentus!A:U,8,FALSE)&lt;1,"Saudável",IF(VLOOKUP(BK222,Fundamentus!A:U,8,FALSE)&lt;3,"Estável",IF(VLOOKUP(BK222,Fundamentus!A:U,8,FALSE)&gt;3,"Alerta","n/a"))))</f>
        <v>Alerta</v>
      </c>
      <c r="ET222" s="36" t="str">
        <f t="shared" si="202"/>
        <v>Ruim</v>
      </c>
      <c r="EU222" s="20" t="str">
        <f>IF(VLOOKUP(BK222,Fundamentus!A:U,12,FALSE)&lt;2,"Subvalorizada",IF(VLOOKUP(BK222,Fundamentus!A:U,12,FALSE)&lt;6,"Muita barata",IF(VLOOKUP(BK222,Fundamentus!A:U,12,FALSE)&lt;6,"Barata",IF(VLOOKUP(BK222,Fundamentus!A:U,12,FALSE)&lt;8,"Atrativa",IF(VLOOKUP(BK222,Fundamentus!A:U,12,FALSE)&gt;8,"Supervalorizada","n/a")))))</f>
        <v>Muita barata</v>
      </c>
      <c r="EW222" s="20" t="str">
        <f>IF(VLOOKUP(BK222,Fundamentus!A:U,17,FALSE)&lt;0.1,"Fraco retorno",IF(VLOOKUP(BK222,Fundamentus!A:U,17,FALSE)&gt;0.1,"Bom retorno","n/a"))</f>
        <v>Fraco retorno</v>
      </c>
      <c r="EX222" s="20" t="str">
        <f>IF(VLOOKUP(BK222,Fundamentus!A:U,16,FALSE)&lt;0.1,"Ineficiente",IF(VLOOKUP(BK222,Fundamentus!A:U,16,FALSE)&gt;0.1,"Eficiente","n/a"))</f>
        <v>Ineficiente</v>
      </c>
      <c r="EY222" s="41" t="str">
        <f>IF(VLOOKUP(BK222,Fundamentus!A:U,16,FALSE)&lt;0.1,"Oper. Ineficiente",IF(VLOOKUP(BK222,Fundamentus!A:U,16,FALSE)&gt;0.1,"Oper.Eficiente","n/a"))</f>
        <v>Oper. Ineficiente</v>
      </c>
      <c r="EZ222" s="42">
        <f>VLOOKUP(BK222,Fundamentus!A:U,14,FALSE)</f>
        <v>0.1676</v>
      </c>
      <c r="FA222" s="20" t="str">
        <f>IF(VLOOKUP(BK222,Fundamentus!A:U,21,FALSE)&lt;0,"Negativo",IF(VLOOKUP(BK222,Fundamentus!A:U,21,FALSE)&lt;0.05,"Fraco",IF(VLOOKUP(BK222,Fundamentus!A:U,21,FALSE)&lt;0.1,"Bom",IF(VLOOKUP(BK222,Fundamentus!A:U,21,FALSE)&gt;0.1,"Muito bom","n/a"))))</f>
        <v>Bom</v>
      </c>
      <c r="FC222" s="37" t="str">
        <f>IF(VLOOKUP(BK222,Fundamentus!A:U,15,FALSE)&gt;1,"Bom",IF(VLOOKUP(BK222,Fundamentus!A:U,15,FALSE)&lt;1,"Ruim","n/a"))</f>
        <v>Bom</v>
      </c>
      <c r="FD222" s="20" t="str">
        <f>IF(VLOOKUP(BK222,Fundamentus!A:U,20,FALSE)&lt;0.5,"Baixa",IF(VLOOKUP(BK222,Fundamentus!A:U,20,FALSE)&lt;1,"Moderada",IF(VLOOKUP(BK222,Fundamentus!A:U,20,FALSE)&lt;2,"Alerta",IF(VLOOKUP(BK222,Fundamentus!A:U,20,FALSE)&gt;2,"Alta","n/a"))))</f>
        <v>Moderada</v>
      </c>
    </row>
    <row r="223" spans="1:161" s="2" customFormat="1" ht="11.25" hidden="1"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8">
        <v>7.06</v>
      </c>
      <c r="BC223" s="62">
        <v>7.92</v>
      </c>
      <c r="BD223" s="62">
        <v>8.31</v>
      </c>
      <c r="BE223" s="62">
        <v>8.3699999999999992</v>
      </c>
      <c r="BF223" s="62">
        <v>8.86</v>
      </c>
      <c r="BG223" s="81">
        <v>8.9</v>
      </c>
      <c r="BH223" s="62">
        <v>8.99</v>
      </c>
      <c r="BI223" s="62">
        <v>9.2200000000000006</v>
      </c>
      <c r="BJ223" s="62" cm="1">
        <f t="array" aca="1" ref="BJ223" ca="1">_FV(EH223,"Preço")</f>
        <v>9.1</v>
      </c>
      <c r="BK223" s="85" t="s">
        <v>219</v>
      </c>
      <c r="BL223" s="44" cm="1">
        <f t="array" aca="1" ref="BL223" ca="1">_FV(EH223,"Média de volume",TRUE)</f>
        <v>50050</v>
      </c>
      <c r="BM223" s="44">
        <v>26100</v>
      </c>
      <c r="BN223" s="44" cm="1">
        <f t="array" aca="1" ref="BN223" ca="1">_FV(EH223,"Volume")</f>
        <v>800</v>
      </c>
      <c r="BO223" s="32" cm="1">
        <f t="array" aca="1" ref="BO223" ca="1">_FV(EH223,"Beta")</f>
        <v>1.7779</v>
      </c>
      <c r="BP223" s="86" cm="1">
        <f t="array" aca="1" ref="BP223" ca="1">_FV(EH223,"Variação (%)",TRUE)</f>
        <v>-1.3015000000000001E-2</v>
      </c>
      <c r="BQ223" s="71"/>
      <c r="BR223" s="71"/>
      <c r="BT223" s="20" cm="1">
        <f t="array" aca="1" ref="BT223" ca="1">_FV(EH223,"Baixo")</f>
        <v>9.02</v>
      </c>
      <c r="BU223" s="20" cm="1">
        <f t="array" aca="1" ref="BU223" ca="1">_FV(EH223,"Alto")</f>
        <v>9.2899999999999991</v>
      </c>
      <c r="BV223" s="32"/>
      <c r="BW223" s="73" t="e">
        <f ca="1">SQRT(22.5*(BJ223/VLOOKUP(BK223,Fundamentus!A:U,3,FALSE))*(BJ223/VLOOKUP(BK223,Fundamentus!A:U,4,FALSE)))</f>
        <v>#NUM!</v>
      </c>
      <c r="BY223" s="72">
        <f t="shared" ca="1" si="198"/>
        <v>-1.3015184381778849E-2</v>
      </c>
      <c r="BZ223" s="8"/>
      <c r="CA223" s="71">
        <f t="shared" si="205"/>
        <v>1.56</v>
      </c>
      <c r="CB223" s="71">
        <f t="shared" si="199"/>
        <v>15.38</v>
      </c>
      <c r="CC223" s="71">
        <f t="shared" si="206"/>
        <v>8.9804918032786869</v>
      </c>
      <c r="CD223" s="17"/>
      <c r="CE223" s="43">
        <f t="shared" si="203"/>
        <v>9.005939074752451</v>
      </c>
      <c r="CF223" s="18">
        <f>FORECAST("04/07/2025", BF223:BI223, $BF$5:$BI$5)</f>
        <v>9.2849999999999682</v>
      </c>
      <c r="CG223" s="43">
        <f t="shared" si="204"/>
        <v>9.5640609252474853</v>
      </c>
      <c r="CI223" s="17"/>
      <c r="CJ223" s="20">
        <f>CA223-2*(CB223-CM223)</f>
        <v>-11.76</v>
      </c>
      <c r="CK223" s="20">
        <f>CM223-(CB223-CA223)</f>
        <v>-5.0999999999999996</v>
      </c>
      <c r="CL223" s="20">
        <f>2*CM223-CB223</f>
        <v>2.0600000000000005</v>
      </c>
      <c r="CM223" s="48">
        <f>(CB223+CA223+BI223)/3</f>
        <v>8.7200000000000006</v>
      </c>
      <c r="CN223" s="20">
        <f>2*CM223-CA223</f>
        <v>15.88</v>
      </c>
      <c r="CO223" s="20">
        <f>CM223+(CB223-CA223)</f>
        <v>22.54</v>
      </c>
      <c r="CP223" s="20">
        <f>CB223+2*(CM223-CA223)</f>
        <v>29.700000000000003</v>
      </c>
      <c r="CQ223" s="2" cm="1">
        <f t="array" aca="1" ref="CQ223" ca="1">MAX(_xlfn._xlws.FILTER(CJ223:CP223,CJ223:CP223&lt;BJ223))</f>
        <v>8.7200000000000006</v>
      </c>
      <c r="CR223" s="2" cm="1">
        <f t="array" aca="1" ref="CR223" ca="1">MIN(_xlfn._xlws.FILTER($CJ223:$CP223,$CJ223:$CP223&gt;BJ223))</f>
        <v>15.88</v>
      </c>
      <c r="CS223" s="19">
        <f t="shared" ca="1" si="207"/>
        <v>0.82110091743119251</v>
      </c>
      <c r="CT223" s="23">
        <f t="shared" ca="1" si="208"/>
        <v>-0.41055045871559626</v>
      </c>
      <c r="CU223" s="23">
        <f t="shared" ca="1" si="209"/>
        <v>-0.2737003058103975</v>
      </c>
      <c r="CV223" s="23">
        <f t="shared" ca="1" si="210"/>
        <v>-0.16422018348623851</v>
      </c>
      <c r="CW223" s="23">
        <f t="shared" ca="1" si="211"/>
        <v>-9.1233435270132501E-2</v>
      </c>
      <c r="CX223" s="23">
        <f t="shared" ca="1" si="212"/>
        <v>-4.8300053966540739E-2</v>
      </c>
      <c r="CY223" s="23">
        <f t="shared" ca="1" si="213"/>
        <v>-2.4881845982763409E-2</v>
      </c>
      <c r="CZ223" s="23">
        <f t="shared" ca="1" si="214"/>
        <v>-1.263232180663373E-2</v>
      </c>
      <c r="DA223" s="24">
        <f t="shared" ca="1" si="215"/>
        <v>1.263232180663373E-2</v>
      </c>
      <c r="DB223" s="24">
        <f t="shared" ca="1" si="216"/>
        <v>2.4881845982763409E-2</v>
      </c>
      <c r="DC223" s="24">
        <f t="shared" ca="1" si="217"/>
        <v>4.8300053966540739E-2</v>
      </c>
      <c r="DD223" s="24">
        <f t="shared" ca="1" si="218"/>
        <v>9.1233435270132501E-2</v>
      </c>
      <c r="DE223" s="24">
        <f t="shared" ca="1" si="219"/>
        <v>0.16422018348623851</v>
      </c>
      <c r="DF223" s="24">
        <f t="shared" ca="1" si="220"/>
        <v>0.2737003058103975</v>
      </c>
      <c r="DG223" s="24">
        <f t="shared" ca="1" si="221"/>
        <v>0.41055045871559626</v>
      </c>
      <c r="DI223" s="19" cm="1">
        <f t="array" aca="1" ref="DI223" ca="1">MAX(_xlfn._xlws.FILTER(CT223:DG223,CT223:DG223&lt;BP223))</f>
        <v>-2.4881845982763409E-2</v>
      </c>
      <c r="DJ223" s="19" cm="1">
        <f t="array" aca="1" ref="DJ223" ca="1">MIN(_xlfn._xlws.FILTER(CT223:DG223,CT223:DG223&gt;BP223))</f>
        <v>-1.263232180663373E-2</v>
      </c>
      <c r="DK223" s="2" cm="1">
        <f t="array" aca="1" ref="DK223" ca="1">_FV(EH223,"Fechamento anterior",TRUE)</f>
        <v>9.2200000000000006</v>
      </c>
      <c r="DL223" s="36">
        <f ca="1">(BJ223-DM223)/(DN223-DM223)</f>
        <v>0.96874469819071418</v>
      </c>
      <c r="DM223" s="18">
        <f t="shared" ca="1" si="222"/>
        <v>8.9905893800389212</v>
      </c>
      <c r="DN223" s="18">
        <f t="shared" ca="1" si="223"/>
        <v>9.1035299929428373</v>
      </c>
      <c r="DO223" s="9"/>
      <c r="DP223" s="9"/>
      <c r="DQ223" s="94">
        <v>1.1208628424356371E-2</v>
      </c>
      <c r="DR223" s="94">
        <v>3.9285143742229432E-2</v>
      </c>
      <c r="DS223" s="94">
        <v>2.3355021715976001E-2</v>
      </c>
      <c r="DT223" s="94">
        <f t="shared" ca="1" si="200"/>
        <v>1.2249524176129678E-2</v>
      </c>
      <c r="DU223" s="87">
        <f ca="1">(BJ223-CF223)/(CF223-CE223)</f>
        <v>-0.66293767153491689</v>
      </c>
      <c r="DV223" s="46"/>
      <c r="DW223" s="43">
        <f>_xlfn.STDEV.P(BF223:BI223)</f>
        <v>0.13953046262375859</v>
      </c>
      <c r="DX223" s="76">
        <f ca="1">BO223-$DT$2</f>
        <v>0.78079999999999994</v>
      </c>
      <c r="DY223" s="76">
        <f ca="1">BO223-BP223*100</f>
        <v>3.0794000000000001</v>
      </c>
      <c r="DZ223" s="101"/>
      <c r="EA223" s="100">
        <v>-4.1399999999999881E-2</v>
      </c>
      <c r="EB223" s="107">
        <v>3.5172000000000003</v>
      </c>
      <c r="EC223" s="107">
        <v>-1.9421999999999997</v>
      </c>
      <c r="ED223" s="98">
        <f t="shared" ca="1" si="196"/>
        <v>-2.2986000000000004</v>
      </c>
      <c r="EE223" s="66"/>
      <c r="EF223" s="66"/>
      <c r="EH223" s="2" t="e" vm="225">
        <v>#VALUE!</v>
      </c>
      <c r="EJ223" s="10" cm="1">
        <f t="array" aca="1" ref="EJ223" ca="1">_FV(EH223,"Ações em circulação",TRUE)</f>
        <v>330121700</v>
      </c>
      <c r="EK223" s="21">
        <f>VLOOKUP(BK223,Fundamentus!A:U,5,FALSE)</f>
        <v>1.772</v>
      </c>
      <c r="EL223" s="2">
        <f ca="1">(BJ223*EJ223)/EK223</f>
        <v>1695320242.6636569</v>
      </c>
      <c r="EM223" s="20">
        <v>14556102692.83194</v>
      </c>
      <c r="EN223" s="20">
        <f t="shared" ca="1" si="201"/>
        <v>14366652332.404627</v>
      </c>
      <c r="EP223" s="19">
        <f t="shared" ca="1" si="197"/>
        <v>-1.3015184381778733E-2</v>
      </c>
      <c r="EQ223" s="40" t="str">
        <f>IF(VLOOKUP(BK223,Fundamentus!A:U,3,FALSE)&lt;15,"Bom",IF(VLOOKUP(BK223,Fundamentus!A:U,3,FALSE)&gt;15,"Ruim","n/a"))</f>
        <v>Bom</v>
      </c>
      <c r="ER223" s="36" t="str">
        <f>IF(VLOOKUP(BK223,Fundamentus!A:U,4,FALSE)&lt;1,"Baixo",IF(VLOOKUP(BK223,Fundamentus!A:U,4,FALSE)&lt;1.5,"Moderado",IF(VLOOKUP(BK223,Fundamentus!A:U,4,FALSE)&gt;1.5,"Alto","n/a")))</f>
        <v>Baixo</v>
      </c>
      <c r="ES223" s="20" t="str">
        <f>IF(VLOOKUP(BK223,Fundamentus!A:U,8,FALSE)&lt;0,"Risco elevado",IF(VLOOKUP(BK223,Fundamentus!A:U,8,FALSE)&lt;1,"Saudável",IF(VLOOKUP(BK223,Fundamentus!A:U,8,FALSE)&lt;3,"Estável",IF(VLOOKUP(BK223,Fundamentus!A:U,8,FALSE)&gt;3,"Alerta","n/a"))))</f>
        <v>Risco elevado</v>
      </c>
      <c r="ET223" s="36" t="str">
        <f t="shared" si="202"/>
        <v>Bom</v>
      </c>
      <c r="EU223" s="20" t="str">
        <f>IF(VLOOKUP(BK223,Fundamentus!A:U,12,FALSE)&lt;2,"Subvalorizada",IF(VLOOKUP(BK223,Fundamentus!A:U,12,FALSE)&lt;6,"Muita barata",IF(VLOOKUP(BK223,Fundamentus!A:U,12,FALSE)&lt;6,"Barata",IF(VLOOKUP(BK223,Fundamentus!A:U,12,FALSE)&lt;8,"Atrativa",IF(VLOOKUP(BK223,Fundamentus!A:U,12,FALSE)&gt;8,"Supervalorizada","n/a")))))</f>
        <v>Subvalorizada</v>
      </c>
      <c r="EW223" s="20" t="str">
        <f>IF(VLOOKUP(BK223,Fundamentus!A:U,17,FALSE)&lt;0.1,"Fraco retorno",IF(VLOOKUP(BK223,Fundamentus!A:U,17,FALSE)&gt;0.1,"Bom retorno","n/a"))</f>
        <v>Fraco retorno</v>
      </c>
      <c r="EX223" s="20" t="str">
        <f>IF(VLOOKUP(BK223,Fundamentus!A:U,16,FALSE)&lt;0.1,"Ineficiente",IF(VLOOKUP(BK223,Fundamentus!A:U,16,FALSE)&gt;0.1,"Eficiente","n/a"))</f>
        <v>Ineficiente</v>
      </c>
      <c r="EY223" s="41" t="str">
        <f>IF(VLOOKUP(BK223,Fundamentus!A:U,16,FALSE)&lt;0.1,"Oper. Ineficiente",IF(VLOOKUP(BK223,Fundamentus!A:U,16,FALSE)&gt;0.1,"Oper.Eficiente","n/a"))</f>
        <v>Oper. Ineficiente</v>
      </c>
      <c r="EZ223" s="42">
        <f>VLOOKUP(BK223,Fundamentus!A:U,14,FALSE)</f>
        <v>8.4742999999999995</v>
      </c>
      <c r="FA223" s="20" t="str">
        <f>IF(VLOOKUP(BK223,Fundamentus!A:U,21,FALSE)&lt;0,"Negativo",IF(VLOOKUP(BK223,Fundamentus!A:U,21,FALSE)&lt;0.05,"Fraco",IF(VLOOKUP(BK223,Fundamentus!A:U,21,FALSE)&lt;0.1,"Bom",IF(VLOOKUP(BK223,Fundamentus!A:U,21,FALSE)&gt;0.1,"Muito bom","n/a"))))</f>
        <v>Negativo</v>
      </c>
      <c r="FC223" s="37" t="str">
        <f>IF(VLOOKUP(BK223,Fundamentus!A:U,15,FALSE)&gt;1,"Bom",IF(VLOOKUP(BK223,Fundamentus!A:U,15,FALSE)&lt;1,"Ruim","n/a"))</f>
        <v>Ruim</v>
      </c>
      <c r="FD223" s="20" t="str">
        <f>IF(VLOOKUP(BK223,Fundamentus!A:U,20,FALSE)&lt;0.5,"Baixa",IF(VLOOKUP(BK223,Fundamentus!A:U,20,FALSE)&lt;1,"Moderada",IF(VLOOKUP(BK223,Fundamentus!A:U,20,FALSE)&lt;2,"Alerta",IF(VLOOKUP(BK223,Fundamentus!A:U,20,FALSE)&gt;2,"Alta","n/a"))))</f>
        <v>Baixa</v>
      </c>
    </row>
    <row r="224" spans="1:161" s="2" customFormat="1" ht="11.25" hidden="1"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8">
        <v>5.2</v>
      </c>
      <c r="BC224" s="62">
        <v>5</v>
      </c>
      <c r="BD224" s="62">
        <v>4.8</v>
      </c>
      <c r="BE224" s="62">
        <v>4.62</v>
      </c>
      <c r="BF224" s="62">
        <v>4.5599999999999996</v>
      </c>
      <c r="BG224" s="81">
        <v>4.49</v>
      </c>
      <c r="BH224" s="62">
        <v>4.3499999999999996</v>
      </c>
      <c r="BI224" s="62">
        <v>4.8099999999999996</v>
      </c>
      <c r="BJ224" s="62" cm="1">
        <f t="array" aca="1" ref="BJ224" ca="1">_FV(EH224,"Preço")</f>
        <v>4.8600000000000003</v>
      </c>
      <c r="BK224" s="83" t="s">
        <v>220</v>
      </c>
      <c r="BL224" s="44" cm="1">
        <f t="array" aca="1" ref="BL224" ca="1">_FV(EH224,"Média de volume",TRUE)</f>
        <v>405870</v>
      </c>
      <c r="BM224" s="44">
        <v>98000</v>
      </c>
      <c r="BN224" s="44" cm="1">
        <f t="array" aca="1" ref="BN224" ca="1">_FV(EH224,"Volume")</f>
        <v>95000</v>
      </c>
      <c r="BO224" s="32" cm="1">
        <f t="array" aca="1" ref="BO224" ca="1">_FV(EH224,"Beta")</f>
        <v>1.0256000000000001</v>
      </c>
      <c r="BP224" s="86" cm="1">
        <f t="array" aca="1" ref="BP224" ca="1">_FV(EH224,"Variação (%)",TRUE)</f>
        <v>1.0395000000000001E-2</v>
      </c>
      <c r="BQ224" s="48"/>
      <c r="BR224" s="48"/>
      <c r="BT224" s="20" cm="1">
        <f t="array" aca="1" ref="BT224" ca="1">_FV(EH224,"Baixo")</f>
        <v>4.76</v>
      </c>
      <c r="BU224" s="20" cm="1">
        <f t="array" aca="1" ref="BU224" ca="1">_FV(EH224,"Alto")</f>
        <v>4.8899999999999997</v>
      </c>
      <c r="BV224" s="32"/>
      <c r="BW224" s="73">
        <f ca="1">SQRT(22.5*(BJ224/VLOOKUP(BK224,Fundamentus!A:U,3,FALSE))*(BJ224/VLOOKUP(BK224,Fundamentus!A:U,4,FALSE)))</f>
        <v>7.3197419783435986</v>
      </c>
      <c r="BY224" s="72">
        <f t="shared" ca="1" si="198"/>
        <v>1.0395010395010543E-2</v>
      </c>
      <c r="BZ224" s="8"/>
      <c r="CA224" s="71">
        <f t="shared" si="205"/>
        <v>4.3499999999999996</v>
      </c>
      <c r="CB224" s="71">
        <f t="shared" si="199"/>
        <v>6.46</v>
      </c>
      <c r="CC224" s="71">
        <f t="shared" si="206"/>
        <v>5.4380327868852465</v>
      </c>
      <c r="CD224" s="17"/>
      <c r="CE224" s="43">
        <f t="shared" si="203"/>
        <v>4.371420923917622</v>
      </c>
      <c r="CF224" s="18">
        <f>FORECAST("04/07/2025", BF224:BI224, $BF$5:$BI$5)</f>
        <v>4.7050000000000409</v>
      </c>
      <c r="CG224" s="43">
        <f t="shared" si="204"/>
        <v>5.0385790760824598</v>
      </c>
      <c r="CI224" s="17"/>
      <c r="CJ224" s="20">
        <f>CA224-2*(CB224-CM224)</f>
        <v>1.8433333333333319</v>
      </c>
      <c r="CK224" s="20">
        <f>CM224-(CB224-CA224)</f>
        <v>3.0966666666666658</v>
      </c>
      <c r="CL224" s="20">
        <f>2*CM224-CB224</f>
        <v>3.9533333333333323</v>
      </c>
      <c r="CM224" s="48">
        <f>(CB224+CA224+BI224)/3</f>
        <v>5.2066666666666661</v>
      </c>
      <c r="CN224" s="20">
        <f>2*CM224-CA224</f>
        <v>6.0633333333333326</v>
      </c>
      <c r="CO224" s="20">
        <f>CM224+(CB224-CA224)</f>
        <v>7.3166666666666664</v>
      </c>
      <c r="CP224" s="20">
        <f>CB224+2*(CM224-CA224)</f>
        <v>8.173333333333332</v>
      </c>
      <c r="CQ224" s="2" cm="1">
        <f t="array" aca="1" ref="CQ224" ca="1">MAX(_xlfn._xlws.FILTER(CJ224:CP224,CJ224:CP224&lt;BJ224))</f>
        <v>3.9533333333333323</v>
      </c>
      <c r="CR224" s="2" cm="1">
        <f t="array" aca="1" ref="CR224" ca="1">MIN(_xlfn._xlws.FILTER($CJ224:$CP224,$CJ224:$CP224&gt;BJ224))</f>
        <v>5.2066666666666661</v>
      </c>
      <c r="CS224" s="19">
        <f t="shared" ca="1" si="207"/>
        <v>0.31703204047217559</v>
      </c>
      <c r="CT224" s="23">
        <f t="shared" ca="1" si="208"/>
        <v>-0.1585160202360878</v>
      </c>
      <c r="CU224" s="23">
        <f t="shared" ca="1" si="209"/>
        <v>-0.10567734682405854</v>
      </c>
      <c r="CV224" s="23">
        <f t="shared" ca="1" si="210"/>
        <v>-6.3406408094435124E-2</v>
      </c>
      <c r="CW224" s="23">
        <f t="shared" ca="1" si="211"/>
        <v>-3.5225782274686174E-2</v>
      </c>
      <c r="CX224" s="23">
        <f t="shared" ca="1" si="212"/>
        <v>-1.8648943557186798E-2</v>
      </c>
      <c r="CY224" s="23">
        <f t="shared" ca="1" si="213"/>
        <v>-9.6070315294598668E-3</v>
      </c>
      <c r="CZ224" s="23">
        <f t="shared" ca="1" si="214"/>
        <v>-4.8774160072642403E-3</v>
      </c>
      <c r="DA224" s="24">
        <f t="shared" ca="1" si="215"/>
        <v>4.8774160072642403E-3</v>
      </c>
      <c r="DB224" s="24">
        <f t="shared" ca="1" si="216"/>
        <v>9.6070315294598668E-3</v>
      </c>
      <c r="DC224" s="24">
        <f t="shared" ca="1" si="217"/>
        <v>1.8648943557186798E-2</v>
      </c>
      <c r="DD224" s="24">
        <f t="shared" ca="1" si="218"/>
        <v>3.5225782274686174E-2</v>
      </c>
      <c r="DE224" s="24">
        <f t="shared" ca="1" si="219"/>
        <v>6.3406408094435124E-2</v>
      </c>
      <c r="DF224" s="24">
        <f t="shared" ca="1" si="220"/>
        <v>0.10567734682405854</v>
      </c>
      <c r="DG224" s="24">
        <f t="shared" ca="1" si="221"/>
        <v>0.1585160202360878</v>
      </c>
      <c r="DI224" s="19" cm="1">
        <f t="array" aca="1" ref="DI224" ca="1">MAX(_xlfn._xlws.FILTER(CT224:DG224,CT224:DG224&lt;BP224))</f>
        <v>9.6070315294598668E-3</v>
      </c>
      <c r="DJ224" s="19" cm="1">
        <f t="array" aca="1" ref="DJ224" ca="1">MIN(_xlfn._xlws.FILTER(CT224:DG224,CT224:DG224&gt;BP224))</f>
        <v>1.8648943557186798E-2</v>
      </c>
      <c r="DK224" s="2" cm="1">
        <f t="array" aca="1" ref="DK224" ca="1">_FV(EH224,"Fechamento anterior",TRUE)</f>
        <v>4.8099999999999996</v>
      </c>
      <c r="DL224" s="36">
        <f ca="1">(BJ224-DM224)/(DN224-DM224)</f>
        <v>8.7147371389408923E-2</v>
      </c>
      <c r="DM224" s="18">
        <f t="shared" ca="1" si="222"/>
        <v>4.8562098216567016</v>
      </c>
      <c r="DN224" s="18">
        <f t="shared" ca="1" si="223"/>
        <v>4.8997014185100678</v>
      </c>
      <c r="DO224" s="9"/>
      <c r="DP224" s="9"/>
      <c r="DQ224" s="94">
        <v>3.8194336142596636E-3</v>
      </c>
      <c r="DR224" s="94">
        <v>1.425158334375989E-2</v>
      </c>
      <c r="DS224" s="94">
        <v>1.7914180164819549E-2</v>
      </c>
      <c r="DT224" s="94">
        <f t="shared" ca="1" si="200"/>
        <v>9.041912027726931E-3</v>
      </c>
      <c r="DU224" s="87">
        <f ca="1">(BJ224-CF224)/(CF224-CE224)</f>
        <v>0.46465744140877363</v>
      </c>
      <c r="DV224" s="46"/>
      <c r="DW224" s="43">
        <f>_xlfn.STDEV.P(BF224:BI224)</f>
        <v>0.16678953804120922</v>
      </c>
      <c r="DX224" s="76">
        <f ca="1">BO224-$DT$2</f>
        <v>2.849999999999997E-2</v>
      </c>
      <c r="DY224" s="76">
        <f ca="1">BO224-BP224*100</f>
        <v>-1.3900000000000023E-2</v>
      </c>
      <c r="DZ224" s="101"/>
      <c r="EA224" s="100">
        <v>-4.1131000000000011</v>
      </c>
      <c r="EB224" s="107">
        <v>-3.1537000000000002</v>
      </c>
      <c r="EC224" s="107">
        <v>2.0876999999999999</v>
      </c>
      <c r="ED224" s="98">
        <f t="shared" ca="1" si="196"/>
        <v>4.2399999999999993E-2</v>
      </c>
      <c r="EE224" s="66"/>
      <c r="EF224" s="66"/>
      <c r="EH224" s="2" t="e" vm="226">
        <v>#VALUE!</v>
      </c>
      <c r="EJ224" s="10" cm="1">
        <f t="array" aca="1" ref="EJ224" ca="1">_FV(EH224,"Ações em circulação",TRUE)</f>
        <v>150314000</v>
      </c>
      <c r="EK224" s="21">
        <f>VLOOKUP(BK224,Fundamentus!A:U,5,FALSE)</f>
        <v>0.84099999999999997</v>
      </c>
      <c r="EL224" s="2">
        <f ca="1">(BJ224*EJ224)/EK224</f>
        <v>868639762.18787158</v>
      </c>
      <c r="EM224" s="20">
        <v>77717163.776456594</v>
      </c>
      <c r="EN224" s="20">
        <f t="shared" ca="1" si="201"/>
        <v>78525034.50178358</v>
      </c>
      <c r="EP224" s="19">
        <f t="shared" ca="1" si="197"/>
        <v>1.039501039501034E-2</v>
      </c>
      <c r="EQ224" s="40" t="str">
        <f>IF(VLOOKUP(BK224,Fundamentus!A:U,3,FALSE)&lt;15,"Bom",IF(VLOOKUP(BK224,Fundamentus!A:U,3,FALSE)&gt;15,"Ruim","n/a"))</f>
        <v>Bom</v>
      </c>
      <c r="ER224" s="36" t="str">
        <f>IF(VLOOKUP(BK224,Fundamentus!A:U,4,FALSE)&lt;1,"Baixo",IF(VLOOKUP(BK224,Fundamentus!A:U,4,FALSE)&lt;1.5,"Moderado",IF(VLOOKUP(BK224,Fundamentus!A:U,4,FALSE)&gt;1.5,"Alto","n/a")))</f>
        <v>Moderado</v>
      </c>
      <c r="ES224" s="20" t="str">
        <f>IF(VLOOKUP(BK224,Fundamentus!A:U,8,FALSE)&lt;0,"Risco elevado",IF(VLOOKUP(BK224,Fundamentus!A:U,8,FALSE)&lt;1,"Saudável",IF(VLOOKUP(BK224,Fundamentus!A:U,8,FALSE)&lt;3,"Estável",IF(VLOOKUP(BK224,Fundamentus!A:U,8,FALSE)&gt;3,"Alerta","n/a"))))</f>
        <v>Estável</v>
      </c>
      <c r="ET224" s="36" t="str">
        <f t="shared" si="202"/>
        <v>Ruim</v>
      </c>
      <c r="EU224" s="20" t="str">
        <f>IF(VLOOKUP(BK224,Fundamentus!A:U,12,FALSE)&lt;2,"Subvalorizada",IF(VLOOKUP(BK224,Fundamentus!A:U,12,FALSE)&lt;6,"Muita barata",IF(VLOOKUP(BK224,Fundamentus!A:U,12,FALSE)&lt;6,"Barata",IF(VLOOKUP(BK224,Fundamentus!A:U,12,FALSE)&lt;8,"Atrativa",IF(VLOOKUP(BK224,Fundamentus!A:U,12,FALSE)&gt;8,"Supervalorizada","n/a")))))</f>
        <v>Supervalorizada</v>
      </c>
      <c r="EW224" s="20" t="str">
        <f>IF(VLOOKUP(BK224,Fundamentus!A:U,17,FALSE)&lt;0.1,"Fraco retorno",IF(VLOOKUP(BK224,Fundamentus!A:U,17,FALSE)&gt;0.1,"Bom retorno","n/a"))</f>
        <v>Bom retorno</v>
      </c>
      <c r="EX224" s="20" t="str">
        <f>IF(VLOOKUP(BK224,Fundamentus!A:U,16,FALSE)&lt;0.1,"Ineficiente",IF(VLOOKUP(BK224,Fundamentus!A:U,16,FALSE)&gt;0.1,"Eficiente","n/a"))</f>
        <v>Ineficiente</v>
      </c>
      <c r="EY224" s="41" t="str">
        <f>IF(VLOOKUP(BK224,Fundamentus!A:U,16,FALSE)&lt;0.1,"Oper. Ineficiente",IF(VLOOKUP(BK224,Fundamentus!A:U,16,FALSE)&gt;0.1,"Oper.Eficiente","n/a"))</f>
        <v>Oper. Ineficiente</v>
      </c>
      <c r="EZ224" s="42">
        <f>VLOOKUP(BK224,Fundamentus!A:U,14,FALSE)</f>
        <v>9.0399999999999994E-2</v>
      </c>
      <c r="FA224" s="20" t="str">
        <f>IF(VLOOKUP(BK224,Fundamentus!A:U,21,FALSE)&lt;0,"Negativo",IF(VLOOKUP(BK224,Fundamentus!A:U,21,FALSE)&lt;0.05,"Fraco",IF(VLOOKUP(BK224,Fundamentus!A:U,21,FALSE)&lt;0.1,"Bom",IF(VLOOKUP(BK224,Fundamentus!A:U,21,FALSE)&gt;0.1,"Muito bom","n/a"))))</f>
        <v>Bom</v>
      </c>
      <c r="FC224" s="37" t="str">
        <f>IF(VLOOKUP(BK224,Fundamentus!A:U,15,FALSE)&gt;1,"Bom",IF(VLOOKUP(BK224,Fundamentus!A:U,15,FALSE)&lt;1,"Ruim","n/a"))</f>
        <v>Bom</v>
      </c>
      <c r="FD224" s="20" t="str">
        <f>IF(VLOOKUP(BK224,Fundamentus!A:U,20,FALSE)&lt;0.5,"Baixa",IF(VLOOKUP(BK224,Fundamentus!A:U,20,FALSE)&lt;1,"Moderada",IF(VLOOKUP(BK224,Fundamentus!A:U,20,FALSE)&lt;2,"Alerta",IF(VLOOKUP(BK224,Fundamentus!A:U,20,FALSE)&gt;2,"Alta","n/a"))))</f>
        <v>Baixa</v>
      </c>
    </row>
    <row r="225" spans="1:160" s="2" customFormat="1" ht="11.25" hidden="1"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8">
        <v>4.08</v>
      </c>
      <c r="BC225" s="62">
        <v>4.17</v>
      </c>
      <c r="BD225" s="62">
        <v>5</v>
      </c>
      <c r="BE225" s="62">
        <v>5.15</v>
      </c>
      <c r="BF225" s="62">
        <v>4.7699999999999996</v>
      </c>
      <c r="BG225" s="81">
        <v>5.26</v>
      </c>
      <c r="BH225" s="62">
        <v>4.79</v>
      </c>
      <c r="BI225" s="62">
        <v>4.6500000000000004</v>
      </c>
      <c r="BJ225" s="62" cm="1">
        <f t="array" aca="1" ref="BJ225" ca="1">_FV(EH225,"Preço")</f>
        <v>4.5999999999999996</v>
      </c>
      <c r="BK225" s="83" t="s">
        <v>221</v>
      </c>
      <c r="BL225" s="44" cm="1">
        <f t="array" aca="1" ref="BL225" ca="1">_FV(EH225,"Média de volume",TRUE)</f>
        <v>367900</v>
      </c>
      <c r="BM225" s="44">
        <v>133000</v>
      </c>
      <c r="BN225" s="44" cm="1">
        <f t="array" aca="1" ref="BN225" ca="1">_FV(EH225,"Volume")</f>
        <v>90400</v>
      </c>
      <c r="BO225" s="32" cm="1">
        <f t="array" aca="1" ref="BO225" ca="1">_FV(EH225,"Beta")</f>
        <v>1.6977</v>
      </c>
      <c r="BP225" s="86" cm="1">
        <f t="array" aca="1" ref="BP225" ca="1">_FV(EH225,"Variação (%)",TRUE)</f>
        <v>-1.0752999999999999E-2</v>
      </c>
      <c r="BQ225" s="48"/>
      <c r="BR225" s="48"/>
      <c r="BT225" s="20" cm="1">
        <f t="array" aca="1" ref="BT225" ca="1">_FV(EH225,"Baixo")</f>
        <v>4.5599999999999996</v>
      </c>
      <c r="BU225" s="20" cm="1">
        <f t="array" aca="1" ref="BU225" ca="1">_FV(EH225,"Alto")</f>
        <v>4.6900000000000004</v>
      </c>
      <c r="BV225" s="32"/>
      <c r="BW225" s="73" t="e">
        <f ca="1">SQRT(22.5*(BJ225/VLOOKUP(BK225,Fundamentus!A:U,3,FALSE))*(BJ225/VLOOKUP(BK225,Fundamentus!A:U,4,FALSE)))</f>
        <v>#NUM!</v>
      </c>
      <c r="BY225" s="72">
        <f t="shared" ca="1" si="198"/>
        <v>-1.0752688172043163E-2</v>
      </c>
      <c r="BZ225" s="8"/>
      <c r="CA225" s="71">
        <f t="shared" si="205"/>
        <v>3.36</v>
      </c>
      <c r="CB225" s="71">
        <f t="shared" si="199"/>
        <v>6.05</v>
      </c>
      <c r="CC225" s="71">
        <f t="shared" si="206"/>
        <v>4.3262295081967208</v>
      </c>
      <c r="CD225" s="17"/>
      <c r="CE225" s="43">
        <f t="shared" si="203"/>
        <v>4.1943015997450397</v>
      </c>
      <c r="CF225" s="18">
        <f>FORECAST("04/07/2025", BF225:BI225, $BF$5:$BI$5)</f>
        <v>4.6599999999999682</v>
      </c>
      <c r="CG225" s="43">
        <f t="shared" si="204"/>
        <v>5.1256984002548966</v>
      </c>
      <c r="CI225" s="17"/>
      <c r="CJ225" s="20">
        <f>CA225-2*(CB225-CM225)</f>
        <v>0.6333333333333333</v>
      </c>
      <c r="CK225" s="20">
        <f>CM225-(CB225-CA225)</f>
        <v>1.9966666666666666</v>
      </c>
      <c r="CL225" s="20">
        <f>2*CM225-CB225</f>
        <v>3.3233333333333333</v>
      </c>
      <c r="CM225" s="48">
        <f>(CB225+CA225+BI225)/3</f>
        <v>4.6866666666666665</v>
      </c>
      <c r="CN225" s="20">
        <f>2*CM225-CA225</f>
        <v>6.0133333333333336</v>
      </c>
      <c r="CO225" s="20">
        <f>CM225+(CB225-CA225)</f>
        <v>7.3766666666666669</v>
      </c>
      <c r="CP225" s="20">
        <f>CB225+2*(CM225-CA225)</f>
        <v>8.7033333333333331</v>
      </c>
      <c r="CQ225" s="2" cm="1">
        <f t="array" aca="1" ref="CQ225" ca="1">MAX(_xlfn._xlws.FILTER(CJ225:CP225,CJ225:CP225&lt;BJ225))</f>
        <v>3.3233333333333333</v>
      </c>
      <c r="CR225" s="2" cm="1">
        <f t="array" aca="1" ref="CR225" ca="1">MIN(_xlfn._xlws.FILTER($CJ225:$CP225,$CJ225:$CP225&gt;BJ225))</f>
        <v>4.6866666666666665</v>
      </c>
      <c r="CS225" s="19">
        <f t="shared" ca="1" si="207"/>
        <v>0.41023069207622864</v>
      </c>
      <c r="CT225" s="23">
        <f t="shared" ca="1" si="208"/>
        <v>-0.20511534603811432</v>
      </c>
      <c r="CU225" s="23">
        <f t="shared" ca="1" si="209"/>
        <v>-0.13674356402540955</v>
      </c>
      <c r="CV225" s="23">
        <f t="shared" ca="1" si="210"/>
        <v>-8.2046138415245731E-2</v>
      </c>
      <c r="CW225" s="23">
        <f t="shared" ca="1" si="211"/>
        <v>-4.5581188008469851E-2</v>
      </c>
      <c r="CX225" s="23">
        <f t="shared" ca="1" si="212"/>
        <v>-2.4131217180954626E-2</v>
      </c>
      <c r="CY225" s="23">
        <f t="shared" ca="1" si="213"/>
        <v>-1.243123309321905E-2</v>
      </c>
      <c r="CZ225" s="23">
        <f t="shared" ca="1" si="214"/>
        <v>-6.3112414165573637E-3</v>
      </c>
      <c r="DA225" s="24">
        <f t="shared" ca="1" si="215"/>
        <v>6.3112414165573637E-3</v>
      </c>
      <c r="DB225" s="24">
        <f t="shared" ca="1" si="216"/>
        <v>1.243123309321905E-2</v>
      </c>
      <c r="DC225" s="24">
        <f t="shared" ca="1" si="217"/>
        <v>2.4131217180954626E-2</v>
      </c>
      <c r="DD225" s="24">
        <f t="shared" ca="1" si="218"/>
        <v>4.5581188008469851E-2</v>
      </c>
      <c r="DE225" s="24">
        <f t="shared" ca="1" si="219"/>
        <v>8.2046138415245731E-2</v>
      </c>
      <c r="DF225" s="24">
        <f t="shared" ca="1" si="220"/>
        <v>0.13674356402540955</v>
      </c>
      <c r="DG225" s="24">
        <f t="shared" ca="1" si="221"/>
        <v>0.20511534603811432</v>
      </c>
      <c r="DI225" s="19" cm="1">
        <f t="array" aca="1" ref="DI225" ca="1">MAX(_xlfn._xlws.FILTER(CT225:DG225,CT225:DG225&lt;BP225))</f>
        <v>-1.243123309321905E-2</v>
      </c>
      <c r="DJ225" s="19" cm="1">
        <f t="array" aca="1" ref="DJ225" ca="1">MIN(_xlfn._xlws.FILTER(CT225:DG225,CT225:DG225&gt;BP225))</f>
        <v>-6.3112414165573637E-3</v>
      </c>
      <c r="DK225" s="2" cm="1">
        <f t="array" aca="1" ref="DK225" ca="1">_FV(EH225,"Fechamento anterior",TRUE)</f>
        <v>4.6500000000000004</v>
      </c>
      <c r="DL225" s="36">
        <f ca="1">(BJ225-DM225)/(DN225-DM225)</f>
        <v>0.27427241896045151</v>
      </c>
      <c r="DM225" s="18">
        <f t="shared" ca="1" si="222"/>
        <v>4.5921947661165321</v>
      </c>
      <c r="DN225" s="18">
        <f t="shared" ca="1" si="223"/>
        <v>4.6206527274130087</v>
      </c>
      <c r="DO225" s="9"/>
      <c r="DP225" s="9"/>
      <c r="DQ225" s="94">
        <v>3.3094963475586325E-2</v>
      </c>
      <c r="DR225" s="94">
        <v>1.8823529411764718E-2</v>
      </c>
      <c r="DS225" s="94">
        <v>4.6677249131236859E-3</v>
      </c>
      <c r="DT225" s="94">
        <f t="shared" ca="1" si="200"/>
        <v>6.1199916766616867E-3</v>
      </c>
      <c r="DU225" s="87">
        <f ca="1">(BJ225-CF225)/(CF225-CE225)</f>
        <v>-0.12883875050273708</v>
      </c>
      <c r="DV225" s="46"/>
      <c r="DW225" s="43">
        <f>_xlfn.STDEV.P(BF225:BI225)</f>
        <v>0.23284920012746435</v>
      </c>
      <c r="DX225" s="76">
        <f ca="1">BO225-$DT$2</f>
        <v>0.70059999999999989</v>
      </c>
      <c r="DY225" s="76">
        <f ca="1">BO225-BP225*100</f>
        <v>2.7729999999999997</v>
      </c>
      <c r="DZ225" s="101"/>
      <c r="EA225" s="100">
        <v>-6.0842999999999998</v>
      </c>
      <c r="EB225" s="107">
        <v>0.2088000000000001</v>
      </c>
      <c r="EC225" s="107">
        <v>-0.24739999999999984</v>
      </c>
      <c r="ED225" s="98">
        <f t="shared" ca="1" si="196"/>
        <v>-2.0724</v>
      </c>
      <c r="EE225" s="66"/>
      <c r="EF225" s="66"/>
      <c r="EH225" s="2" t="e" vm="227">
        <v>#VALUE!</v>
      </c>
      <c r="EJ225" s="10" cm="1">
        <f t="array" aca="1" ref="EJ225" ca="1">_FV(EH225,"Ações em circulação",TRUE)</f>
        <v>140986900</v>
      </c>
      <c r="EK225" s="21">
        <f>VLOOKUP(BK225,Fundamentus!A:U,5,FALSE)</f>
        <v>0.3</v>
      </c>
      <c r="EL225" s="2">
        <f ca="1">(BJ225*EJ225)/EK225</f>
        <v>2161799133.3333335</v>
      </c>
      <c r="EM225" s="20">
        <v>-100742189.39500001</v>
      </c>
      <c r="EN225" s="20">
        <f t="shared" ca="1" si="201"/>
        <v>-99658940.046666682</v>
      </c>
      <c r="EP225" s="19">
        <f t="shared" ca="1" si="197"/>
        <v>-1.0752688172043001E-2</v>
      </c>
      <c r="EQ225" s="40" t="str">
        <f>IF(VLOOKUP(BK225,Fundamentus!A:U,3,FALSE)&lt;15,"Bom",IF(VLOOKUP(BK225,Fundamentus!A:U,3,FALSE)&gt;15,"Ruim","n/a"))</f>
        <v>Bom</v>
      </c>
      <c r="ER225" s="36" t="str">
        <f>IF(VLOOKUP(BK225,Fundamentus!A:U,4,FALSE)&lt;1,"Baixo",IF(VLOOKUP(BK225,Fundamentus!A:U,4,FALSE)&lt;1.5,"Moderado",IF(VLOOKUP(BK225,Fundamentus!A:U,4,FALSE)&gt;1.5,"Alto","n/a")))</f>
        <v>Alto</v>
      </c>
      <c r="ES225" s="20" t="str">
        <f>IF(VLOOKUP(BK225,Fundamentus!A:U,8,FALSE)&lt;0,"Risco elevado",IF(VLOOKUP(BK225,Fundamentus!A:U,8,FALSE)&lt;1,"Saudável",IF(VLOOKUP(BK225,Fundamentus!A:U,8,FALSE)&lt;3,"Estável",IF(VLOOKUP(BK225,Fundamentus!A:U,8,FALSE)&gt;3,"Alerta","n/a"))))</f>
        <v>Risco elevado</v>
      </c>
      <c r="ET225" s="36" t="str">
        <f t="shared" si="202"/>
        <v>Ruim</v>
      </c>
      <c r="EU225" s="20" t="str">
        <f>IF(VLOOKUP(BK225,Fundamentus!A:U,12,FALSE)&lt;2,"Subvalorizada",IF(VLOOKUP(BK225,Fundamentus!A:U,12,FALSE)&lt;6,"Muita barata",IF(VLOOKUP(BK225,Fundamentus!A:U,12,FALSE)&lt;6,"Barata",IF(VLOOKUP(BK225,Fundamentus!A:U,12,FALSE)&lt;8,"Atrativa",IF(VLOOKUP(BK225,Fundamentus!A:U,12,FALSE)&gt;8,"Supervalorizada","n/a")))))</f>
        <v>Atrativa</v>
      </c>
      <c r="EW225" s="20" t="str">
        <f>IF(VLOOKUP(BK225,Fundamentus!A:U,17,FALSE)&lt;0.1,"Fraco retorno",IF(VLOOKUP(BK225,Fundamentus!A:U,17,FALSE)&gt;0.1,"Bom retorno","n/a"))</f>
        <v>Fraco retorno</v>
      </c>
      <c r="EX225" s="20" t="str">
        <f>IF(VLOOKUP(BK225,Fundamentus!A:U,16,FALSE)&lt;0.1,"Ineficiente",IF(VLOOKUP(BK225,Fundamentus!A:U,16,FALSE)&gt;0.1,"Eficiente","n/a"))</f>
        <v>Ineficiente</v>
      </c>
      <c r="EY225" s="41" t="str">
        <f>IF(VLOOKUP(BK225,Fundamentus!A:U,16,FALSE)&lt;0.1,"Oper. Ineficiente",IF(VLOOKUP(BK225,Fundamentus!A:U,16,FALSE)&gt;0.1,"Oper.Eficiente","n/a"))</f>
        <v>Oper. Ineficiente</v>
      </c>
      <c r="EZ225" s="42">
        <f>VLOOKUP(BK225,Fundamentus!A:U,14,FALSE)</f>
        <v>-4.6100000000000002E-2</v>
      </c>
      <c r="FA225" s="20" t="str">
        <f>IF(VLOOKUP(BK225,Fundamentus!A:U,21,FALSE)&lt;0,"Negativo",IF(VLOOKUP(BK225,Fundamentus!A:U,21,FALSE)&lt;0.05,"Fraco",IF(VLOOKUP(BK225,Fundamentus!A:U,21,FALSE)&lt;0.1,"Bom",IF(VLOOKUP(BK225,Fundamentus!A:U,21,FALSE)&gt;0.1,"Muito bom","n/a"))))</f>
        <v>Muito bom</v>
      </c>
      <c r="FC225" s="37" t="str">
        <f>IF(VLOOKUP(BK225,Fundamentus!A:U,15,FALSE)&gt;1,"Bom",IF(VLOOKUP(BK225,Fundamentus!A:U,15,FALSE)&lt;1,"Ruim","n/a"))</f>
        <v>Ruim</v>
      </c>
      <c r="FD225" s="20" t="str">
        <f>IF(VLOOKUP(BK225,Fundamentus!A:U,20,FALSE)&lt;0.5,"Baixa",IF(VLOOKUP(BK225,Fundamentus!A:U,20,FALSE)&lt;1,"Moderada",IF(VLOOKUP(BK225,Fundamentus!A:U,20,FALSE)&lt;2,"Alerta",IF(VLOOKUP(BK225,Fundamentus!A:U,20,FALSE)&gt;2,"Alta","n/a"))))</f>
        <v>Alta</v>
      </c>
    </row>
    <row r="226" spans="1:160" s="2" customFormat="1" ht="11.25" hidden="1"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8">
        <v>1.1599999999999999</v>
      </c>
      <c r="BC226" s="62">
        <v>1.37</v>
      </c>
      <c r="BD226" s="62">
        <v>1.36</v>
      </c>
      <c r="BE226" s="62">
        <v>1.37</v>
      </c>
      <c r="BF226" s="62">
        <v>1.19</v>
      </c>
      <c r="BG226" s="81">
        <v>1.2</v>
      </c>
      <c r="BH226" s="62">
        <v>1.17</v>
      </c>
      <c r="BI226" s="62">
        <v>1.25</v>
      </c>
      <c r="BJ226" s="62" cm="1">
        <f t="array" aca="1" ref="BJ226" ca="1">_FV(EH226,"Preço")</f>
        <v>1.2</v>
      </c>
      <c r="BK226" s="83" t="s">
        <v>222</v>
      </c>
      <c r="BL226" s="44" cm="1">
        <f t="array" aca="1" ref="BL226" ca="1">_FV(EH226,"Média de volume",TRUE)</f>
        <v>550880</v>
      </c>
      <c r="BM226" s="44">
        <v>842900</v>
      </c>
      <c r="BN226" s="44" cm="1">
        <f t="array" aca="1" ref="BN226" ca="1">_FV(EH226,"Volume")</f>
        <v>455900</v>
      </c>
      <c r="BO226" s="32" cm="1">
        <f t="array" aca="1" ref="BO226" ca="1">_FV(EH226,"Beta")</f>
        <v>0.97919999999999996</v>
      </c>
      <c r="BP226" s="86" cm="1">
        <f t="array" aca="1" ref="BP226" ca="1">_FV(EH226,"Variação (%)",TRUE)</f>
        <v>-0.04</v>
      </c>
      <c r="BQ226" s="48"/>
      <c r="BR226" s="48"/>
      <c r="BT226" s="20" cm="1">
        <f t="array" aca="1" ref="BT226" ca="1">_FV(EH226,"Baixo")</f>
        <v>1.19</v>
      </c>
      <c r="BU226" s="20" cm="1">
        <f t="array" aca="1" ref="BU226" ca="1">_FV(EH226,"Alto")</f>
        <v>1.25</v>
      </c>
      <c r="BV226" s="32"/>
      <c r="BW226" s="73" t="e">
        <f ca="1">SQRT(22.5*(BJ226/VLOOKUP(BK226,Fundamentus!A:U,3,FALSE))*(BJ226/VLOOKUP(BK226,Fundamentus!A:U,4,FALSE)))</f>
        <v>#NUM!</v>
      </c>
      <c r="BY226" s="72">
        <f t="shared" ca="1" si="198"/>
        <v>-4.0000000000000036E-2</v>
      </c>
      <c r="BZ226" s="8"/>
      <c r="CA226" s="71">
        <f t="shared" si="205"/>
        <v>1.1499999999999999</v>
      </c>
      <c r="CB226" s="71">
        <f t="shared" si="199"/>
        <v>5.42</v>
      </c>
      <c r="CC226" s="71">
        <f t="shared" si="206"/>
        <v>1.9540163934426236</v>
      </c>
      <c r="CD226" s="17"/>
      <c r="CE226" s="43">
        <f t="shared" si="203"/>
        <v>1.1810508693872368</v>
      </c>
      <c r="CF226" s="18">
        <f>FORECAST("04/07/2025", BF226:BI226, $BF$5:$BI$5)</f>
        <v>1.2399999999999949</v>
      </c>
      <c r="CG226" s="43">
        <f t="shared" si="204"/>
        <v>1.298949130612753</v>
      </c>
      <c r="CI226" s="17"/>
      <c r="CJ226" s="20">
        <f>CA226-2*(CB226-CM226)</f>
        <v>-4.4766666666666666</v>
      </c>
      <c r="CK226" s="20">
        <f>CM226-(CB226-CA226)</f>
        <v>-1.6633333333333327</v>
      </c>
      <c r="CL226" s="20">
        <f>2*CM226-CB226</f>
        <v>-0.20666666666666611</v>
      </c>
      <c r="CM226" s="48">
        <f>(CB226+CA226+BI226)/3</f>
        <v>2.6066666666666669</v>
      </c>
      <c r="CN226" s="20">
        <f>2*CM226-CA226</f>
        <v>4.0633333333333344</v>
      </c>
      <c r="CO226" s="20">
        <f>CM226+(CB226-CA226)</f>
        <v>6.8766666666666669</v>
      </c>
      <c r="CP226" s="20">
        <f>CB226+2*(CM226-CA226)</f>
        <v>8.3333333333333339</v>
      </c>
      <c r="CQ226" s="2" cm="1">
        <f t="array" aca="1" ref="CQ226" ca="1">MAX(_xlfn._xlws.FILTER(CJ226:CP226,CJ226:CP226&lt;BJ226))</f>
        <v>-0.20666666666666611</v>
      </c>
      <c r="CR226" s="2" cm="1">
        <f t="array" aca="1" ref="CR226" ca="1">MIN(_xlfn._xlws.FILTER($CJ226:$CP226,$CJ226:$CP226&gt;BJ226))</f>
        <v>2.6066666666666669</v>
      </c>
      <c r="CS226" s="19">
        <f t="shared" ca="1" si="207"/>
        <v>-13.612903225806487</v>
      </c>
      <c r="CT226" s="23">
        <f t="shared" ca="1" si="208"/>
        <v>6.8064516129032437</v>
      </c>
      <c r="CU226" s="23">
        <f t="shared" ca="1" si="209"/>
        <v>4.5376344086021625</v>
      </c>
      <c r="CV226" s="23">
        <f t="shared" ca="1" si="210"/>
        <v>2.7225806451612975</v>
      </c>
      <c r="CW226" s="23">
        <f t="shared" ca="1" si="211"/>
        <v>1.5125448028673876</v>
      </c>
      <c r="CX226" s="23">
        <f t="shared" ca="1" si="212"/>
        <v>0.80075901328273458</v>
      </c>
      <c r="CY226" s="23">
        <f t="shared" ca="1" si="213"/>
        <v>0.41251221896383294</v>
      </c>
      <c r="CZ226" s="23">
        <f t="shared" ca="1" si="214"/>
        <v>0.20942928039702288</v>
      </c>
      <c r="DA226" s="24">
        <f t="shared" ca="1" si="215"/>
        <v>-0.20942928039702288</v>
      </c>
      <c r="DB226" s="24">
        <f t="shared" ca="1" si="216"/>
        <v>-0.41251221896383294</v>
      </c>
      <c r="DC226" s="24">
        <f t="shared" ca="1" si="217"/>
        <v>-0.80075901328273458</v>
      </c>
      <c r="DD226" s="24">
        <f t="shared" ca="1" si="218"/>
        <v>-1.5125448028673876</v>
      </c>
      <c r="DE226" s="24">
        <f t="shared" ca="1" si="219"/>
        <v>-2.7225806451612975</v>
      </c>
      <c r="DF226" s="24">
        <f t="shared" ca="1" si="220"/>
        <v>-4.5376344086021625</v>
      </c>
      <c r="DG226" s="24">
        <f t="shared" ca="1" si="221"/>
        <v>-6.8064516129032437</v>
      </c>
      <c r="DI226" s="19" cm="1">
        <f t="array" aca="1" ref="DI226" ca="1">MAX(_xlfn._xlws.FILTER(CT226:DG226,CT226:DG226&lt;BP226))</f>
        <v>-0.20942928039702288</v>
      </c>
      <c r="DJ226" s="19" cm="1">
        <f t="array" aca="1" ref="DJ226" ca="1">MIN(_xlfn._xlws.FILTER(CT226:DG226,CT226:DG226&gt;BP226))</f>
        <v>0.20942928039702288</v>
      </c>
      <c r="DK226" s="2" cm="1">
        <f t="array" aca="1" ref="DK226" ca="1">_FV(EH226,"Fechamento anterior",TRUE)</f>
        <v>1.25</v>
      </c>
      <c r="DL226" s="36">
        <f ca="1">(BJ226-DM226)/(DN226-DM226)</f>
        <v>0.4045023696682466</v>
      </c>
      <c r="DM226" s="18">
        <f t="shared" ca="1" si="222"/>
        <v>0.98821339950372145</v>
      </c>
      <c r="DN226" s="18">
        <f t="shared" ca="1" si="223"/>
        <v>1.5117866004962786</v>
      </c>
      <c r="DO226" s="9"/>
      <c r="DP226" s="9"/>
      <c r="DQ226" s="94">
        <v>0.32045028142589155</v>
      </c>
      <c r="DR226" s="94">
        <v>0.32045028142589155</v>
      </c>
      <c r="DS226" s="94">
        <v>0.36282051282051381</v>
      </c>
      <c r="DT226" s="94">
        <f t="shared" ca="1" si="200"/>
        <v>0.41885856079404576</v>
      </c>
      <c r="DU226" s="87">
        <f ca="1">(BJ226-CF226)/(CF226-CE226)</f>
        <v>-0.67855114374388958</v>
      </c>
      <c r="DV226" s="46"/>
      <c r="DW226" s="43">
        <f>_xlfn.STDEV.P(BF226:BI226)</f>
        <v>2.9474565306379014E-2</v>
      </c>
      <c r="DX226" s="76">
        <f ca="1">BO226-$DT$2</f>
        <v>-1.7900000000000138E-2</v>
      </c>
      <c r="DY226" s="76">
        <f ca="1">BO226-BP226*100</f>
        <v>4.9791999999999996</v>
      </c>
      <c r="DZ226" s="101"/>
      <c r="EA226" s="100">
        <v>-0.52770000000000006</v>
      </c>
      <c r="EB226" s="107">
        <v>-1.2581000000000002</v>
      </c>
      <c r="EC226" s="107">
        <v>2.6398999999999999</v>
      </c>
      <c r="ED226" s="98">
        <f t="shared" ca="1" si="196"/>
        <v>-4.9970999999999997</v>
      </c>
      <c r="EE226" s="66"/>
      <c r="EF226" s="66"/>
      <c r="EH226" s="2" t="e" vm="228">
        <v>#VALUE!</v>
      </c>
      <c r="EJ226" s="10" cm="1">
        <f t="array" aca="1" ref="EJ226" ca="1">_FV(EH226,"Ações em circulação",TRUE)</f>
        <v>322820600</v>
      </c>
      <c r="EK226" s="21">
        <f>VLOOKUP(BK226,Fundamentus!A:U,5,FALSE)</f>
        <v>3.4000000000000002E-2</v>
      </c>
      <c r="EL226" s="2">
        <f ca="1">(BJ226*EJ226)/EK226</f>
        <v>11393668235.294117</v>
      </c>
      <c r="EM226" s="20">
        <v>-1536958371.3235295</v>
      </c>
      <c r="EN226" s="20">
        <f t="shared" ca="1" si="201"/>
        <v>-1475480036.4705882</v>
      </c>
      <c r="EP226" s="19">
        <f t="shared" ca="1" si="197"/>
        <v>-4.0000000000000036E-2</v>
      </c>
      <c r="EQ226" s="40" t="str">
        <f>IF(VLOOKUP(BK226,Fundamentus!A:U,3,FALSE)&lt;15,"Bom",IF(VLOOKUP(BK226,Fundamentus!A:U,3,FALSE)&gt;15,"Ruim","n/a"))</f>
        <v>Bom</v>
      </c>
      <c r="ER226" s="36" t="str">
        <f>IF(VLOOKUP(BK226,Fundamentus!A:U,4,FALSE)&lt;1,"Baixo",IF(VLOOKUP(BK226,Fundamentus!A:U,4,FALSE)&lt;1.5,"Moderado",IF(VLOOKUP(BK226,Fundamentus!A:U,4,FALSE)&gt;1.5,"Alto","n/a")))</f>
        <v>Baixo</v>
      </c>
      <c r="ES226" s="20" t="str">
        <f>IF(VLOOKUP(BK226,Fundamentus!A:U,8,FALSE)&lt;0,"Risco elevado",IF(VLOOKUP(BK226,Fundamentus!A:U,8,FALSE)&lt;1,"Saudável",IF(VLOOKUP(BK226,Fundamentus!A:U,8,FALSE)&lt;3,"Estável",IF(VLOOKUP(BK226,Fundamentus!A:U,8,FALSE)&gt;3,"Alerta","n/a"))))</f>
        <v>Saudável</v>
      </c>
      <c r="ET226" s="36" t="str">
        <f t="shared" si="202"/>
        <v>Ruim</v>
      </c>
      <c r="EU226" s="20" t="str">
        <f>IF(VLOOKUP(BK226,Fundamentus!A:U,12,FALSE)&lt;2,"Subvalorizada",IF(VLOOKUP(BK226,Fundamentus!A:U,12,FALSE)&lt;6,"Muita barata",IF(VLOOKUP(BK226,Fundamentus!A:U,12,FALSE)&lt;6,"Barata",IF(VLOOKUP(BK226,Fundamentus!A:U,12,FALSE)&lt;8,"Atrativa",IF(VLOOKUP(BK226,Fundamentus!A:U,12,FALSE)&gt;8,"Supervalorizada","n/a")))))</f>
        <v>Supervalorizada</v>
      </c>
      <c r="EW226" s="20" t="str">
        <f>IF(VLOOKUP(BK226,Fundamentus!A:U,17,FALSE)&lt;0.1,"Fraco retorno",IF(VLOOKUP(BK226,Fundamentus!A:U,17,FALSE)&gt;0.1,"Bom retorno","n/a"))</f>
        <v>Fraco retorno</v>
      </c>
      <c r="EX226" s="20" t="str">
        <f>IF(VLOOKUP(BK226,Fundamentus!A:U,16,FALSE)&lt;0.1,"Ineficiente",IF(VLOOKUP(BK226,Fundamentus!A:U,16,FALSE)&gt;0.1,"Eficiente","n/a"))</f>
        <v>Ineficiente</v>
      </c>
      <c r="EY226" s="41" t="str">
        <f>IF(VLOOKUP(BK226,Fundamentus!A:U,16,FALSE)&lt;0.1,"Oper. Ineficiente",IF(VLOOKUP(BK226,Fundamentus!A:U,16,FALSE)&gt;0.1,"Oper.Eficiente","n/a"))</f>
        <v>Oper. Ineficiente</v>
      </c>
      <c r="EZ226" s="42">
        <f>VLOOKUP(BK226,Fundamentus!A:U,14,FALSE)</f>
        <v>-0.1295</v>
      </c>
      <c r="FA226" s="20" t="str">
        <f>IF(VLOOKUP(BK226,Fundamentus!A:U,21,FALSE)&lt;0,"Negativo",IF(VLOOKUP(BK226,Fundamentus!A:U,21,FALSE)&lt;0.05,"Fraco",IF(VLOOKUP(BK226,Fundamentus!A:U,21,FALSE)&lt;0.1,"Bom",IF(VLOOKUP(BK226,Fundamentus!A:U,21,FALSE)&gt;0.1,"Muito bom","n/a"))))</f>
        <v>Muito bom</v>
      </c>
      <c r="FC226" s="37" t="str">
        <f>IF(VLOOKUP(BK226,Fundamentus!A:U,15,FALSE)&gt;1,"Bom",IF(VLOOKUP(BK226,Fundamentus!A:U,15,FALSE)&lt;1,"Ruim","n/a"))</f>
        <v>Bom</v>
      </c>
      <c r="FD226" s="20" t="str">
        <f>IF(VLOOKUP(BK226,Fundamentus!A:U,20,FALSE)&lt;0.5,"Baixa",IF(VLOOKUP(BK226,Fundamentus!A:U,20,FALSE)&lt;1,"Moderada",IF(VLOOKUP(BK226,Fundamentus!A:U,20,FALSE)&lt;2,"Alerta",IF(VLOOKUP(BK226,Fundamentus!A:U,20,FALSE)&gt;2,"Alta","n/a"))))</f>
        <v>Alta</v>
      </c>
    </row>
    <row r="227" spans="1:160" s="2" customFormat="1" ht="11.25" hidden="1"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8">
        <v>3.77</v>
      </c>
      <c r="BC227" s="62">
        <v>3.83</v>
      </c>
      <c r="BD227" s="62">
        <v>3.43</v>
      </c>
      <c r="BE227" s="62">
        <v>3.49</v>
      </c>
      <c r="BF227" s="62">
        <v>3.52</v>
      </c>
      <c r="BG227" s="81">
        <v>3.53</v>
      </c>
      <c r="BH227" s="62">
        <v>3.42</v>
      </c>
      <c r="BI227" s="62">
        <v>3.41</v>
      </c>
      <c r="BJ227" s="62" cm="1">
        <f t="array" aca="1" ref="BJ227" ca="1">_FV(EH227,"Preço")</f>
        <v>3.48</v>
      </c>
      <c r="BK227" s="83" t="s">
        <v>223</v>
      </c>
      <c r="BL227" s="44" cm="1">
        <f t="array" aca="1" ref="BL227" ca="1">_FV(EH227,"Média de volume",TRUE)</f>
        <v>405610</v>
      </c>
      <c r="BM227" s="44">
        <v>96600</v>
      </c>
      <c r="BN227" s="44" cm="1">
        <f t="array" aca="1" ref="BN227" ca="1">_FV(EH227,"Volume")</f>
        <v>110800</v>
      </c>
      <c r="BO227" s="32" cm="1">
        <f t="array" aca="1" ref="BO227" ca="1">_FV(EH227,"Beta")</f>
        <v>1.4427000000000001</v>
      </c>
      <c r="BP227" s="86" cm="1">
        <f t="array" aca="1" ref="BP227" ca="1">_FV(EH227,"Variação (%)",TRUE)</f>
        <v>2.0528000000000001E-2</v>
      </c>
      <c r="BQ227" s="48"/>
      <c r="BR227" s="48"/>
      <c r="BT227" s="20" cm="1">
        <f t="array" aca="1" ref="BT227" ca="1">_FV(EH227,"Baixo")</f>
        <v>3.4</v>
      </c>
      <c r="BU227" s="20" cm="1">
        <f t="array" aca="1" ref="BU227" ca="1">_FV(EH227,"Alto")</f>
        <v>3.48</v>
      </c>
      <c r="BV227" s="32"/>
      <c r="BW227" s="73">
        <f ca="1">SQRT(22.5*(BJ227/VLOOKUP(BK227,Fundamentus!A:U,3,FALSE))*(BJ227/VLOOKUP(BK227,Fundamentus!A:U,4,FALSE)))</f>
        <v>12.140848188737348</v>
      </c>
      <c r="BY227" s="72">
        <f t="shared" ca="1" si="198"/>
        <v>2.0527859237536607E-2</v>
      </c>
      <c r="BZ227" s="8"/>
      <c r="CA227" s="71">
        <f t="shared" si="205"/>
        <v>2.69</v>
      </c>
      <c r="CB227" s="71">
        <f t="shared" si="199"/>
        <v>6</v>
      </c>
      <c r="CC227" s="71">
        <f t="shared" si="206"/>
        <v>4.1250000000000009</v>
      </c>
      <c r="CD227" s="17"/>
      <c r="CE227" s="43">
        <f t="shared" si="203"/>
        <v>3.2495463898281414</v>
      </c>
      <c r="CF227" s="18">
        <f>FORECAST("04/07/2025", BF227:BI227, $BF$5:$BI$5)</f>
        <v>3.3600000000000136</v>
      </c>
      <c r="CG227" s="43">
        <f t="shared" si="204"/>
        <v>3.4704536101718859</v>
      </c>
      <c r="CI227" s="17"/>
      <c r="CJ227" s="20">
        <f>CA227-2*(CB227-CM227)</f>
        <v>-1.2433333333333336</v>
      </c>
      <c r="CK227" s="20">
        <f>CM227-(CB227-CA227)</f>
        <v>0.72333333333333316</v>
      </c>
      <c r="CL227" s="20">
        <f>2*CM227-CB227</f>
        <v>2.0666666666666664</v>
      </c>
      <c r="CM227" s="48">
        <f>(CB227+CA227+BI227)/3</f>
        <v>4.0333333333333332</v>
      </c>
      <c r="CN227" s="20">
        <f>2*CM227-CA227</f>
        <v>5.3766666666666669</v>
      </c>
      <c r="CO227" s="20">
        <f>CM227+(CB227-CA227)</f>
        <v>7.3433333333333337</v>
      </c>
      <c r="CP227" s="20">
        <f>CB227+2*(CM227-CA227)</f>
        <v>8.6866666666666674</v>
      </c>
      <c r="CQ227" s="2" cm="1">
        <f t="array" aca="1" ref="CQ227" ca="1">MAX(_xlfn._xlws.FILTER(CJ227:CP227,CJ227:CP227&lt;BJ227))</f>
        <v>2.0666666666666664</v>
      </c>
      <c r="CR227" s="2" cm="1">
        <f t="array" aca="1" ref="CR227" ca="1">MIN(_xlfn._xlws.FILTER($CJ227:$CP227,$CJ227:$CP227&gt;BJ227))</f>
        <v>4.0333333333333332</v>
      </c>
      <c r="CS227" s="19">
        <f t="shared" ca="1" si="207"/>
        <v>0.95161290322580672</v>
      </c>
      <c r="CT227" s="23">
        <f t="shared" ca="1" si="208"/>
        <v>-0.47580645161290336</v>
      </c>
      <c r="CU227" s="23">
        <f t="shared" ca="1" si="209"/>
        <v>-0.31720430107526892</v>
      </c>
      <c r="CV227" s="23">
        <f t="shared" ca="1" si="210"/>
        <v>-0.19032258064516133</v>
      </c>
      <c r="CW227" s="23">
        <f t="shared" ca="1" si="211"/>
        <v>-0.10573476702508963</v>
      </c>
      <c r="CX227" s="23">
        <f t="shared" ca="1" si="212"/>
        <v>-5.597722960151804E-2</v>
      </c>
      <c r="CY227" s="23">
        <f t="shared" ca="1" si="213"/>
        <v>-2.8836754643206265E-2</v>
      </c>
      <c r="CZ227" s="23">
        <f t="shared" ca="1" si="214"/>
        <v>-1.4640198511166257E-2</v>
      </c>
      <c r="DA227" s="24">
        <f t="shared" ca="1" si="215"/>
        <v>1.4640198511166257E-2</v>
      </c>
      <c r="DB227" s="24">
        <f t="shared" ca="1" si="216"/>
        <v>2.8836754643206265E-2</v>
      </c>
      <c r="DC227" s="24">
        <f t="shared" ca="1" si="217"/>
        <v>5.597722960151804E-2</v>
      </c>
      <c r="DD227" s="24">
        <f t="shared" ca="1" si="218"/>
        <v>0.10573476702508963</v>
      </c>
      <c r="DE227" s="24">
        <f t="shared" ca="1" si="219"/>
        <v>0.19032258064516133</v>
      </c>
      <c r="DF227" s="24">
        <f t="shared" ca="1" si="220"/>
        <v>0.31720430107526892</v>
      </c>
      <c r="DG227" s="24">
        <f t="shared" ca="1" si="221"/>
        <v>0.47580645161290336</v>
      </c>
      <c r="DI227" s="19" cm="1">
        <f t="array" aca="1" ref="DI227" ca="1">MAX(_xlfn._xlws.FILTER(CT227:DG227,CT227:DG227&lt;BP227))</f>
        <v>1.4640198511166257E-2</v>
      </c>
      <c r="DJ227" s="19" cm="1">
        <f t="array" aca="1" ref="DJ227" ca="1">MIN(_xlfn._xlws.FILTER(CT227:DG227,CT227:DG227&gt;BP227))</f>
        <v>2.8836754643206265E-2</v>
      </c>
      <c r="DK227" s="2" cm="1">
        <f t="array" aca="1" ref="DK227" ca="1">_FV(EH227,"Fechamento anterior",TRUE)</f>
        <v>3.41</v>
      </c>
      <c r="DL227" s="36">
        <f ca="1">(BJ227-DM227)/(DN227-DM227)</f>
        <v>0.4147245762711842</v>
      </c>
      <c r="DM227" s="18">
        <f t="shared" ca="1" si="222"/>
        <v>3.4599230769230771</v>
      </c>
      <c r="DN227" s="18">
        <f t="shared" ca="1" si="223"/>
        <v>3.5083333333333333</v>
      </c>
      <c r="DO227" s="9"/>
      <c r="DP227" s="9"/>
      <c r="DQ227" s="94">
        <v>5.7559238661600929E-3</v>
      </c>
      <c r="DR227" s="94">
        <v>2.0173948844629742E-2</v>
      </c>
      <c r="DS227" s="94">
        <v>2.7615862398471098E-2</v>
      </c>
      <c r="DT227" s="94">
        <f t="shared" ca="1" si="200"/>
        <v>1.4196556132040008E-2</v>
      </c>
      <c r="DU227" s="87">
        <f ca="1">(BJ227-CF227)/(CF227-CE227)</f>
        <v>1.0864289525101021</v>
      </c>
      <c r="DV227" s="46"/>
      <c r="DW227" s="43">
        <f>_xlfn.STDEV.P(BF227:BI227)</f>
        <v>5.5226805085936234E-2</v>
      </c>
      <c r="DX227" s="76">
        <f ca="1">BO227-$DT$2</f>
        <v>0.4456</v>
      </c>
      <c r="DY227" s="76">
        <f ca="1">BO227-BP227*100</f>
        <v>-0.61009999999999986</v>
      </c>
      <c r="DZ227" s="101"/>
      <c r="EA227" s="100">
        <v>-4.5661999999999994</v>
      </c>
      <c r="EB227" s="107">
        <v>-1.5990000000000002</v>
      </c>
      <c r="EC227" s="107">
        <v>-0.69119999999999981</v>
      </c>
      <c r="ED227" s="98">
        <f t="shared" ca="1" si="196"/>
        <v>1.0556999999999999</v>
      </c>
      <c r="EE227" s="66"/>
      <c r="EF227" s="66"/>
      <c r="EH227" s="2" t="e" vm="229">
        <v>#VALUE!</v>
      </c>
      <c r="EJ227" s="10" cm="1">
        <f t="array" aca="1" ref="EJ227" ca="1">_FV(EH227,"Ações em circulação",TRUE)</f>
        <v>103189000</v>
      </c>
      <c r="EK227" s="21">
        <f>VLOOKUP(BK227,Fundamentus!A:U,5,FALSE)</f>
        <v>2.1309999999999998</v>
      </c>
      <c r="EL227" s="2">
        <f ca="1">(BJ227*EJ227)/EK227</f>
        <v>168511365.55607697</v>
      </c>
      <c r="EM227" s="20">
        <v>117153895.19239797</v>
      </c>
      <c r="EN227" s="20">
        <f t="shared" ca="1" si="201"/>
        <v>119558813.86203662</v>
      </c>
      <c r="EP227" s="19">
        <f t="shared" ca="1" si="197"/>
        <v>2.0527859237536417E-2</v>
      </c>
      <c r="EQ227" s="40" t="str">
        <f>IF(VLOOKUP(BK227,Fundamentus!A:U,3,FALSE)&lt;15,"Bom",IF(VLOOKUP(BK227,Fundamentus!A:U,3,FALSE)&gt;15,"Ruim","n/a"))</f>
        <v>Bom</v>
      </c>
      <c r="ER227" s="36" t="str">
        <f>IF(VLOOKUP(BK227,Fundamentus!A:U,4,FALSE)&lt;1,"Baixo",IF(VLOOKUP(BK227,Fundamentus!A:U,4,FALSE)&lt;1.5,"Moderado",IF(VLOOKUP(BK227,Fundamentus!A:U,4,FALSE)&gt;1.5,"Alto","n/a")))</f>
        <v>Baixo</v>
      </c>
      <c r="ES227" s="20" t="str">
        <f>IF(VLOOKUP(BK227,Fundamentus!A:U,8,FALSE)&lt;0,"Risco elevado",IF(VLOOKUP(BK227,Fundamentus!A:U,8,FALSE)&lt;1,"Saudável",IF(VLOOKUP(BK227,Fundamentus!A:U,8,FALSE)&lt;3,"Estável",IF(VLOOKUP(BK227,Fundamentus!A:U,8,FALSE)&gt;3,"Alerta","n/a"))))</f>
        <v>Estável</v>
      </c>
      <c r="ET227" s="36" t="str">
        <f t="shared" si="202"/>
        <v>Bom</v>
      </c>
      <c r="EU227" s="20" t="str">
        <f>IF(VLOOKUP(BK227,Fundamentus!A:U,12,FALSE)&lt;2,"Subvalorizada",IF(VLOOKUP(BK227,Fundamentus!A:U,12,FALSE)&lt;6,"Muita barata",IF(VLOOKUP(BK227,Fundamentus!A:U,12,FALSE)&lt;6,"Barata",IF(VLOOKUP(BK227,Fundamentus!A:U,12,FALSE)&lt;8,"Atrativa",IF(VLOOKUP(BK227,Fundamentus!A:U,12,FALSE)&gt;8,"Supervalorizada","n/a")))))</f>
        <v>Atrativa</v>
      </c>
      <c r="EW227" s="20" t="str">
        <f>IF(VLOOKUP(BK227,Fundamentus!A:U,17,FALSE)&lt;0.1,"Fraco retorno",IF(VLOOKUP(BK227,Fundamentus!A:U,17,FALSE)&gt;0.1,"Bom retorno","n/a"))</f>
        <v>Fraco retorno</v>
      </c>
      <c r="EX227" s="20" t="str">
        <f>IF(VLOOKUP(BK227,Fundamentus!A:U,16,FALSE)&lt;0.1,"Ineficiente",IF(VLOOKUP(BK227,Fundamentus!A:U,16,FALSE)&gt;0.1,"Eficiente","n/a"))</f>
        <v>Ineficiente</v>
      </c>
      <c r="EY227" s="41" t="str">
        <f>IF(VLOOKUP(BK227,Fundamentus!A:U,16,FALSE)&lt;0.1,"Oper. Ineficiente",IF(VLOOKUP(BK227,Fundamentus!A:U,16,FALSE)&gt;0.1,"Oper.Eficiente","n/a"))</f>
        <v>Oper. Ineficiente</v>
      </c>
      <c r="EZ227" s="42">
        <f>VLOOKUP(BK227,Fundamentus!A:U,14,FALSE)</f>
        <v>0.70950000000000002</v>
      </c>
      <c r="FA227" s="20" t="str">
        <f>IF(VLOOKUP(BK227,Fundamentus!A:U,21,FALSE)&lt;0,"Negativo",IF(VLOOKUP(BK227,Fundamentus!A:U,21,FALSE)&lt;0.05,"Fraco",IF(VLOOKUP(BK227,Fundamentus!A:U,21,FALSE)&lt;0.1,"Bom",IF(VLOOKUP(BK227,Fundamentus!A:U,21,FALSE)&gt;0.1,"Muito bom","n/a"))))</f>
        <v>Muito bom</v>
      </c>
      <c r="FC227" s="37" t="str">
        <f>IF(VLOOKUP(BK227,Fundamentus!A:U,15,FALSE)&gt;1,"Bom",IF(VLOOKUP(BK227,Fundamentus!A:U,15,FALSE)&lt;1,"Ruim","n/a"))</f>
        <v>Bom</v>
      </c>
      <c r="FD227" s="20" t="str">
        <f>IF(VLOOKUP(BK227,Fundamentus!A:U,20,FALSE)&lt;0.5,"Baixa",IF(VLOOKUP(BK227,Fundamentus!A:U,20,FALSE)&lt;1,"Moderada",IF(VLOOKUP(BK227,Fundamentus!A:U,20,FALSE)&lt;2,"Alerta",IF(VLOOKUP(BK227,Fundamentus!A:U,20,FALSE)&gt;2,"Alta","n/a"))))</f>
        <v>Moderada</v>
      </c>
    </row>
    <row r="228" spans="1:160" s="2" customFormat="1" ht="11.25" hidden="1"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8">
        <v>2.94</v>
      </c>
      <c r="BC228" s="62">
        <v>2.83</v>
      </c>
      <c r="BD228" s="62">
        <v>2.59</v>
      </c>
      <c r="BE228" s="62">
        <v>2.69</v>
      </c>
      <c r="BF228" s="62">
        <v>2.71</v>
      </c>
      <c r="BG228" s="81">
        <v>2.52</v>
      </c>
      <c r="BH228" s="62">
        <v>2.48</v>
      </c>
      <c r="BI228" s="62">
        <v>2.4700000000000002</v>
      </c>
      <c r="BJ228" s="62" cm="1">
        <f t="array" aca="1" ref="BJ228" ca="1">_FV(EH228,"Preço")</f>
        <v>2.39</v>
      </c>
      <c r="BK228" s="83" t="s">
        <v>224</v>
      </c>
      <c r="BL228" s="44" cm="1">
        <f t="array" aca="1" ref="BL228" ca="1">_FV(EH228,"Média de volume",TRUE)</f>
        <v>11640</v>
      </c>
      <c r="BM228" s="44">
        <v>8500</v>
      </c>
      <c r="BN228" s="44" cm="1">
        <f t="array" aca="1" ref="BN228" ca="1">_FV(EH228,"Volume")</f>
        <v>3200</v>
      </c>
      <c r="BO228" s="32" cm="1">
        <f t="array" aca="1" ref="BO228" ca="1">_FV(EH228,"Beta")</f>
        <v>0.70289999999999997</v>
      </c>
      <c r="BP228" s="86" cm="1">
        <f t="array" aca="1" ref="BP228" ca="1">_FV(EH228,"Variação (%)",TRUE)</f>
        <v>-3.2389000000000001E-2</v>
      </c>
      <c r="BQ228" s="48"/>
      <c r="BR228" s="48"/>
      <c r="BT228" s="20" cm="1">
        <f t="array" aca="1" ref="BT228" ca="1">_FV(EH228,"Baixo")</f>
        <v>2.39</v>
      </c>
      <c r="BU228" s="20" cm="1">
        <f t="array" aca="1" ref="BU228" ca="1">_FV(EH228,"Alto")</f>
        <v>2.4700000000000002</v>
      </c>
      <c r="BV228" s="32"/>
      <c r="BW228" s="73" t="e">
        <f ca="1">SQRT(22.5*(BJ228/VLOOKUP(BK228,Fundamentus!A:U,3,FALSE))*(BJ228/VLOOKUP(BK228,Fundamentus!A:U,4,FALSE)))</f>
        <v>#NUM!</v>
      </c>
      <c r="BY228" s="72">
        <f t="shared" ca="1" si="198"/>
        <v>-3.2388663967611364E-2</v>
      </c>
      <c r="BZ228" s="8"/>
      <c r="CA228" s="71">
        <f t="shared" si="205"/>
        <v>2.1</v>
      </c>
      <c r="CB228" s="71">
        <f t="shared" si="199"/>
        <v>3.62</v>
      </c>
      <c r="CC228" s="71">
        <f t="shared" si="206"/>
        <v>2.8375409836065577</v>
      </c>
      <c r="CD228" s="17"/>
      <c r="CE228" s="43">
        <f t="shared" si="203"/>
        <v>2.1608351216105421</v>
      </c>
      <c r="CF228" s="18">
        <f>FORECAST("04/07/2025", BF228:BI228, $BF$5:$BI$5)</f>
        <v>2.3550000000000182</v>
      </c>
      <c r="CG228" s="43">
        <f t="shared" si="204"/>
        <v>2.5491648783894942</v>
      </c>
      <c r="CI228" s="17"/>
      <c r="CJ228" s="20">
        <f>CA228-2*(CB228-CM228)</f>
        <v>0.32000000000000073</v>
      </c>
      <c r="CK228" s="20">
        <f>CM228-(CB228-CA228)</f>
        <v>1.2100000000000004</v>
      </c>
      <c r="CL228" s="20">
        <f>2*CM228-CB228</f>
        <v>1.8400000000000007</v>
      </c>
      <c r="CM228" s="48">
        <f>(CB228+CA228+BI228)/3</f>
        <v>2.7300000000000004</v>
      </c>
      <c r="CN228" s="20">
        <f>2*CM228-CA228</f>
        <v>3.3600000000000008</v>
      </c>
      <c r="CO228" s="20">
        <f>CM228+(CB228-CA228)</f>
        <v>4.25</v>
      </c>
      <c r="CP228" s="20">
        <f>CB228+2*(CM228-CA228)</f>
        <v>4.8800000000000008</v>
      </c>
      <c r="CQ228" s="2" cm="1">
        <f t="array" aca="1" ref="CQ228" ca="1">MAX(_xlfn._xlws.FILTER(CJ228:CP228,CJ228:CP228&lt;BJ228))</f>
        <v>1.8400000000000007</v>
      </c>
      <c r="CR228" s="2" cm="1">
        <f t="array" aca="1" ref="CR228" ca="1">MIN(_xlfn._xlws.FILTER($CJ228:$CP228,$CJ228:$CP228&gt;BJ228))</f>
        <v>2.7300000000000004</v>
      </c>
      <c r="CS228" s="19">
        <f t="shared" ca="1" si="207"/>
        <v>0.48369565217391264</v>
      </c>
      <c r="CT228" s="23">
        <f t="shared" ca="1" si="208"/>
        <v>-0.24184782608695632</v>
      </c>
      <c r="CU228" s="23">
        <f t="shared" ca="1" si="209"/>
        <v>-0.16123188405797087</v>
      </c>
      <c r="CV228" s="23">
        <f t="shared" ca="1" si="210"/>
        <v>-9.6739130434782522E-2</v>
      </c>
      <c r="CW228" s="23">
        <f t="shared" ca="1" si="211"/>
        <v>-5.3743961352656959E-2</v>
      </c>
      <c r="CX228" s="23">
        <f t="shared" ca="1" si="212"/>
        <v>-2.8452685421994861E-2</v>
      </c>
      <c r="CY228" s="23">
        <f t="shared" ca="1" si="213"/>
        <v>-1.465744400527008E-2</v>
      </c>
      <c r="CZ228" s="23">
        <f t="shared" ca="1" si="214"/>
        <v>-7.4414715719063485E-3</v>
      </c>
      <c r="DA228" s="24">
        <f t="shared" ca="1" si="215"/>
        <v>7.4414715719063485E-3</v>
      </c>
      <c r="DB228" s="24">
        <f t="shared" ca="1" si="216"/>
        <v>1.465744400527008E-2</v>
      </c>
      <c r="DC228" s="24">
        <f t="shared" ca="1" si="217"/>
        <v>2.8452685421994861E-2</v>
      </c>
      <c r="DD228" s="24">
        <f t="shared" ca="1" si="218"/>
        <v>5.3743961352656959E-2</v>
      </c>
      <c r="DE228" s="24">
        <f t="shared" ca="1" si="219"/>
        <v>9.6739130434782522E-2</v>
      </c>
      <c r="DF228" s="24">
        <f t="shared" ca="1" si="220"/>
        <v>0.16123188405797087</v>
      </c>
      <c r="DG228" s="24">
        <f t="shared" ca="1" si="221"/>
        <v>0.24184782608695632</v>
      </c>
      <c r="DI228" s="19" cm="1">
        <f t="array" aca="1" ref="DI228" ca="1">MAX(_xlfn._xlws.FILTER(CT228:DG228,CT228:DG228&lt;BP228))</f>
        <v>-5.3743961352656959E-2</v>
      </c>
      <c r="DJ228" s="19" cm="1">
        <f t="array" aca="1" ref="DJ228" ca="1">MIN(_xlfn._xlws.FILTER(CT228:DG228,CT228:DG228&gt;BP228))</f>
        <v>-2.8452685421994861E-2</v>
      </c>
      <c r="DK228" s="2" cm="1">
        <f t="array" aca="1" ref="DK228" ca="1">_FV(EH228,"Fechamento anterior",TRUE)</f>
        <v>2.4700000000000002</v>
      </c>
      <c r="DL228" s="36">
        <f ca="1">(BJ228-DM228)/(DN228-DM228)</f>
        <v>0.84437406177500784</v>
      </c>
      <c r="DM228" s="18">
        <f t="shared" ca="1" si="222"/>
        <v>2.3372524154589374</v>
      </c>
      <c r="DN228" s="18">
        <f t="shared" ca="1" si="223"/>
        <v>2.3997218670076728</v>
      </c>
      <c r="DO228" s="9"/>
      <c r="DP228" s="9"/>
      <c r="DQ228" s="94">
        <v>1.7277635691957942E-2</v>
      </c>
      <c r="DR228" s="94">
        <v>5.5436264252271472E-3</v>
      </c>
      <c r="DS228" s="94">
        <v>1.3296033392328143E-2</v>
      </c>
      <c r="DT228" s="94">
        <f t="shared" ca="1" si="200"/>
        <v>2.5291275930662098E-2</v>
      </c>
      <c r="DU228" s="87">
        <f ca="1">(BJ228-CF228)/(CF228-CE228)</f>
        <v>0.18025917091851856</v>
      </c>
      <c r="DV228" s="46"/>
      <c r="DW228" s="43">
        <f>_xlfn.STDEV.P(BF228:BI228)</f>
        <v>9.7082439194737941E-2</v>
      </c>
      <c r="DX228" s="76">
        <f ca="1">BO228-$DT$2</f>
        <v>-0.29420000000000013</v>
      </c>
      <c r="DY228" s="76">
        <f ca="1">BO228-BP228*100</f>
        <v>3.9418000000000002</v>
      </c>
      <c r="DZ228" s="101"/>
      <c r="EA228" s="100">
        <v>-9.96999999999999E-2</v>
      </c>
      <c r="EB228" s="107">
        <v>0.44189999999999996</v>
      </c>
      <c r="EC228" s="107">
        <v>1.4104000000000001</v>
      </c>
      <c r="ED228" s="98">
        <f t="shared" ca="1" si="196"/>
        <v>-4.2360000000000007</v>
      </c>
      <c r="EE228" s="66"/>
      <c r="EF228" s="66"/>
      <c r="EH228" s="2" t="e" vm="230">
        <v>#VALUE!</v>
      </c>
      <c r="EJ228" s="10" cm="1">
        <f t="array" aca="1" ref="EJ228" ca="1">_FV(EH228,"Ações em circulação",TRUE)</f>
        <v>43769810</v>
      </c>
      <c r="EK228" s="21">
        <f>VLOOKUP(BK228,Fundamentus!A:U,5,FALSE)</f>
        <v>0.22700000000000001</v>
      </c>
      <c r="EL228" s="2">
        <f ca="1">(BJ228*EJ228)/EK228</f>
        <v>460836325.55066079</v>
      </c>
      <c r="EM228" s="20">
        <v>-131781642.61977974</v>
      </c>
      <c r="EN228" s="20">
        <f t="shared" ca="1" si="201"/>
        <v>-127513411.27986784</v>
      </c>
      <c r="EP228" s="19">
        <f t="shared" ca="1" si="197"/>
        <v>-3.2388663967611309E-2</v>
      </c>
      <c r="EQ228" s="40" t="str">
        <f>IF(VLOOKUP(BK228,Fundamentus!A:U,3,FALSE)&lt;15,"Bom",IF(VLOOKUP(BK228,Fundamentus!A:U,3,FALSE)&gt;15,"Ruim","n/a"))</f>
        <v>Bom</v>
      </c>
      <c r="ER228" s="36" t="str">
        <f>IF(VLOOKUP(BK228,Fundamentus!A:U,4,FALSE)&lt;1,"Baixo",IF(VLOOKUP(BK228,Fundamentus!A:U,4,FALSE)&lt;1.5,"Moderado",IF(VLOOKUP(BK228,Fundamentus!A:U,4,FALSE)&gt;1.5,"Alto","n/a")))</f>
        <v>Baixo</v>
      </c>
      <c r="ES228" s="20" t="str">
        <f>IF(VLOOKUP(BK228,Fundamentus!A:U,8,FALSE)&lt;0,"Risco elevado",IF(VLOOKUP(BK228,Fundamentus!A:U,8,FALSE)&lt;1,"Saudável",IF(VLOOKUP(BK228,Fundamentus!A:U,8,FALSE)&lt;3,"Estável",IF(VLOOKUP(BK228,Fundamentus!A:U,8,FALSE)&gt;3,"Alerta","n/a"))))</f>
        <v>Saudável</v>
      </c>
      <c r="ET228" s="36" t="str">
        <f t="shared" si="202"/>
        <v>Ruim</v>
      </c>
      <c r="EU228" s="20" t="str">
        <f>IF(VLOOKUP(BK228,Fundamentus!A:U,12,FALSE)&lt;2,"Subvalorizada",IF(VLOOKUP(BK228,Fundamentus!A:U,12,FALSE)&lt;6,"Muita barata",IF(VLOOKUP(BK228,Fundamentus!A:U,12,FALSE)&lt;6,"Barata",IF(VLOOKUP(BK228,Fundamentus!A:U,12,FALSE)&lt;8,"Atrativa",IF(VLOOKUP(BK228,Fundamentus!A:U,12,FALSE)&gt;8,"Supervalorizada","n/a")))))</f>
        <v>Subvalorizada</v>
      </c>
      <c r="EW228" s="20" t="str">
        <f>IF(VLOOKUP(BK228,Fundamentus!A:U,17,FALSE)&lt;0.1,"Fraco retorno",IF(VLOOKUP(BK228,Fundamentus!A:U,17,FALSE)&gt;0.1,"Bom retorno","n/a"))</f>
        <v>Fraco retorno</v>
      </c>
      <c r="EX228" s="20" t="str">
        <f>IF(VLOOKUP(BK228,Fundamentus!A:U,16,FALSE)&lt;0.1,"Ineficiente",IF(VLOOKUP(BK228,Fundamentus!A:U,16,FALSE)&gt;0.1,"Eficiente","n/a"))</f>
        <v>Ineficiente</v>
      </c>
      <c r="EY228" s="41" t="str">
        <f>IF(VLOOKUP(BK228,Fundamentus!A:U,16,FALSE)&lt;0.1,"Oper. Ineficiente",IF(VLOOKUP(BK228,Fundamentus!A:U,16,FALSE)&gt;0.1,"Oper.Eficiente","n/a"))</f>
        <v>Oper. Ineficiente</v>
      </c>
      <c r="EZ228" s="42">
        <f>VLOOKUP(BK228,Fundamentus!A:U,14,FALSE)</f>
        <v>-0.2767</v>
      </c>
      <c r="FA228" s="20" t="str">
        <f>IF(VLOOKUP(BK228,Fundamentus!A:U,21,FALSE)&lt;0,"Negativo",IF(VLOOKUP(BK228,Fundamentus!A:U,21,FALSE)&lt;0.05,"Fraco",IF(VLOOKUP(BK228,Fundamentus!A:U,21,FALSE)&lt;0.1,"Bom",IF(VLOOKUP(BK228,Fundamentus!A:U,21,FALSE)&gt;0.1,"Muito bom","n/a"))))</f>
        <v>Fraco</v>
      </c>
      <c r="FC228" s="37" t="str">
        <f>IF(VLOOKUP(BK228,Fundamentus!A:U,15,FALSE)&gt;1,"Bom",IF(VLOOKUP(BK228,Fundamentus!A:U,15,FALSE)&lt;1,"Ruim","n/a"))</f>
        <v>Bom</v>
      </c>
      <c r="FD228" s="20" t="str">
        <f>IF(VLOOKUP(BK228,Fundamentus!A:U,20,FALSE)&lt;0.5,"Baixa",IF(VLOOKUP(BK228,Fundamentus!A:U,20,FALSE)&lt;1,"Moderada",IF(VLOOKUP(BK228,Fundamentus!A:U,20,FALSE)&lt;2,"Alerta",IF(VLOOKUP(BK228,Fundamentus!A:U,20,FALSE)&gt;2,"Alta","n/a"))))</f>
        <v>Alta</v>
      </c>
    </row>
    <row r="229" spans="1:160" s="2" customFormat="1" ht="11.25" hidden="1"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8">
        <v>3.11</v>
      </c>
      <c r="BC229" s="62">
        <v>3.37</v>
      </c>
      <c r="BD229" s="62">
        <v>3.09</v>
      </c>
      <c r="BE229" s="62">
        <v>3.01</v>
      </c>
      <c r="BF229" s="62">
        <v>3.06</v>
      </c>
      <c r="BG229" s="81">
        <v>3.05</v>
      </c>
      <c r="BH229" s="62">
        <v>3.05</v>
      </c>
      <c r="BI229" s="62">
        <v>3.05</v>
      </c>
      <c r="BJ229" s="62" cm="1">
        <f t="array" aca="1" ref="BJ229" ca="1">_FV(EH229,"Preço")</f>
        <v>3.06</v>
      </c>
      <c r="BK229" s="83" t="s">
        <v>225</v>
      </c>
      <c r="BL229" s="44" cm="1">
        <f t="array" aca="1" ref="BL229" ca="1">_FV(EH229,"Média de volume",TRUE)</f>
        <v>8637070</v>
      </c>
      <c r="BM229" s="44">
        <v>7278600</v>
      </c>
      <c r="BN229" s="44" cm="1">
        <f t="array" aca="1" ref="BN229" ca="1">_FV(EH229,"Volume")</f>
        <v>3010700</v>
      </c>
      <c r="BO229" s="32" cm="1">
        <f t="array" aca="1" ref="BO229" ca="1">_FV(EH229,"Beta")</f>
        <v>1.9751000000000001</v>
      </c>
      <c r="BP229" s="86" cm="1">
        <f t="array" aca="1" ref="BP229" ca="1">_FV(EH229,"Variação (%)",TRUE)</f>
        <v>3.2790000000000002E-3</v>
      </c>
      <c r="BQ229" s="48"/>
      <c r="BR229" s="48"/>
      <c r="BT229" s="20" cm="1">
        <f t="array" aca="1" ref="BT229" ca="1">_FV(EH229,"Baixo")</f>
        <v>3.01</v>
      </c>
      <c r="BU229" s="20" cm="1">
        <f t="array" aca="1" ref="BU229" ca="1">_FV(EH229,"Alto")</f>
        <v>3.09</v>
      </c>
      <c r="BV229" s="32"/>
      <c r="BW229" s="73" t="e">
        <f ca="1">SQRT(22.5*(BJ229/VLOOKUP(BK229,Fundamentus!A:U,3,FALSE))*(BJ229/VLOOKUP(BK229,Fundamentus!A:U,4,FALSE)))</f>
        <v>#NUM!</v>
      </c>
      <c r="BY229" s="72">
        <f t="shared" ca="1" si="198"/>
        <v>3.2786885245902398E-3</v>
      </c>
      <c r="BZ229" s="8"/>
      <c r="CA229" s="71">
        <f t="shared" si="205"/>
        <v>2.37</v>
      </c>
      <c r="CB229" s="71">
        <f t="shared" si="199"/>
        <v>4.4000000000000004</v>
      </c>
      <c r="CC229" s="71">
        <f t="shared" si="206"/>
        <v>2.9756557377049191</v>
      </c>
      <c r="CD229" s="17"/>
      <c r="CE229" s="43">
        <f t="shared" si="203"/>
        <v>3.0363397459621573</v>
      </c>
      <c r="CF229" s="18">
        <f>FORECAST("04/07/2025", BF229:BI229, $BF$5:$BI$5)</f>
        <v>3.0450000000000017</v>
      </c>
      <c r="CG229" s="43">
        <f t="shared" si="204"/>
        <v>3.0536602540378461</v>
      </c>
      <c r="CI229" s="17"/>
      <c r="CJ229" s="20">
        <f>CA229-2*(CB229-CM229)</f>
        <v>0.11666666666666625</v>
      </c>
      <c r="CK229" s="20">
        <f>CM229-(CB229-CA229)</f>
        <v>1.2433333333333332</v>
      </c>
      <c r="CL229" s="20">
        <f>2*CM229-CB229</f>
        <v>2.1466666666666665</v>
      </c>
      <c r="CM229" s="48">
        <f>(CB229+CA229+BI229)/3</f>
        <v>3.2733333333333334</v>
      </c>
      <c r="CN229" s="20">
        <f>2*CM229-CA229</f>
        <v>4.1766666666666667</v>
      </c>
      <c r="CO229" s="20">
        <f>CM229+(CB229-CA229)</f>
        <v>5.3033333333333337</v>
      </c>
      <c r="CP229" s="20">
        <f>CB229+2*(CM229-CA229)</f>
        <v>6.206666666666667</v>
      </c>
      <c r="CQ229" s="2" cm="1">
        <f t="array" aca="1" ref="CQ229" ca="1">MAX(_xlfn._xlws.FILTER(CJ229:CP229,CJ229:CP229&lt;BJ229))</f>
        <v>2.1466666666666665</v>
      </c>
      <c r="CR229" s="2" cm="1">
        <f t="array" aca="1" ref="CR229" ca="1">MIN(_xlfn._xlws.FILTER($CJ229:$CP229,$CJ229:$CP229&gt;BJ229))</f>
        <v>3.2733333333333334</v>
      </c>
      <c r="CS229" s="19">
        <f t="shared" ca="1" si="207"/>
        <v>0.52484472049689468</v>
      </c>
      <c r="CT229" s="23">
        <f t="shared" ca="1" si="208"/>
        <v>-0.26242236024844734</v>
      </c>
      <c r="CU229" s="23">
        <f t="shared" ca="1" si="209"/>
        <v>-0.17494824016563157</v>
      </c>
      <c r="CV229" s="23">
        <f t="shared" ca="1" si="210"/>
        <v>-0.10496894409937893</v>
      </c>
      <c r="CW229" s="23">
        <f t="shared" ca="1" si="211"/>
        <v>-5.8316080055210523E-2</v>
      </c>
      <c r="CX229" s="23">
        <f t="shared" ca="1" si="212"/>
        <v>-3.0873218852758511E-2</v>
      </c>
      <c r="CY229" s="23">
        <f t="shared" ca="1" si="213"/>
        <v>-1.5904385469602871E-2</v>
      </c>
      <c r="CZ229" s="23">
        <f t="shared" ca="1" si="214"/>
        <v>-8.0745341614906867E-3</v>
      </c>
      <c r="DA229" s="24">
        <f t="shared" ca="1" si="215"/>
        <v>8.0745341614906867E-3</v>
      </c>
      <c r="DB229" s="24">
        <f t="shared" ca="1" si="216"/>
        <v>1.5904385469602871E-2</v>
      </c>
      <c r="DC229" s="24">
        <f t="shared" ca="1" si="217"/>
        <v>3.0873218852758511E-2</v>
      </c>
      <c r="DD229" s="24">
        <f t="shared" ca="1" si="218"/>
        <v>5.8316080055210523E-2</v>
      </c>
      <c r="DE229" s="24">
        <f t="shared" ca="1" si="219"/>
        <v>0.10496894409937893</v>
      </c>
      <c r="DF229" s="24">
        <f t="shared" ca="1" si="220"/>
        <v>0.17494824016563157</v>
      </c>
      <c r="DG229" s="24">
        <f t="shared" ca="1" si="221"/>
        <v>0.26242236024844734</v>
      </c>
      <c r="DI229" s="19" cm="1">
        <f t="array" aca="1" ref="DI229" ca="1">MAX(_xlfn._xlws.FILTER(CT229:DG229,CT229:DG229&lt;BP229))</f>
        <v>-8.0745341614906867E-3</v>
      </c>
      <c r="DJ229" s="19" cm="1">
        <f t="array" aca="1" ref="DJ229" ca="1">MIN(_xlfn._xlws.FILTER(CT229:DG229,CT229:DG229&gt;BP229))</f>
        <v>8.0745341614906867E-3</v>
      </c>
      <c r="DK229" s="2" cm="1">
        <f t="array" aca="1" ref="DK229" ca="1">_FV(EH229,"Fechamento anterior",TRUE)</f>
        <v>3.05</v>
      </c>
      <c r="DL229" s="36">
        <f ca="1">(BJ229-DM229)/(DN229-DM229)</f>
        <v>0.70302648171500981</v>
      </c>
      <c r="DM229" s="18">
        <f t="shared" ca="1" si="222"/>
        <v>3.0253726708074531</v>
      </c>
      <c r="DN229" s="18">
        <f t="shared" ca="1" si="223"/>
        <v>3.0746273291925466</v>
      </c>
      <c r="DO229" s="9"/>
      <c r="DP229" s="9"/>
      <c r="DQ229" s="94">
        <v>1.3137424373379435E-2</v>
      </c>
      <c r="DR229" s="94">
        <v>6.3696603022445732E-3</v>
      </c>
      <c r="DS229" s="94">
        <v>7.8298513081121839E-3</v>
      </c>
      <c r="DT229" s="94">
        <f t="shared" ca="1" si="200"/>
        <v>1.6149068322981373E-2</v>
      </c>
      <c r="DU229" s="87">
        <f ca="1">(BJ229-CF229)/(CF229-CE229)</f>
        <v>1.7320508075686782</v>
      </c>
      <c r="DV229" s="46"/>
      <c r="DW229" s="43">
        <f>_xlfn.STDEV.P(BF229:BI229)</f>
        <v>4.330127018922293E-3</v>
      </c>
      <c r="DX229" s="76">
        <f ca="1">BO229-$DT$2</f>
        <v>0.97799999999999998</v>
      </c>
      <c r="DY229" s="76">
        <f ca="1">BO229-BP229*100</f>
        <v>1.6472</v>
      </c>
      <c r="DZ229" s="101"/>
      <c r="EA229" s="100">
        <v>-0.66900000000000004</v>
      </c>
      <c r="EB229" s="107">
        <v>0.59040000000000026</v>
      </c>
      <c r="EC229" s="107">
        <v>2.1875999999999998</v>
      </c>
      <c r="ED229" s="98">
        <f t="shared" ca="1" si="196"/>
        <v>-0.66920000000000002</v>
      </c>
      <c r="EE229" s="66"/>
      <c r="EF229" s="66"/>
      <c r="EH229" s="2" t="e" vm="231">
        <v>#VALUE!</v>
      </c>
      <c r="EJ229" s="10" cm="1">
        <f t="array" aca="1" ref="EJ229" ca="1">_FV(EH229,"Ações em circulação",TRUE)</f>
        <v>490286400</v>
      </c>
      <c r="EK229" s="21">
        <f>VLOOKUP(BK229,Fundamentus!A:U,5,FALSE)</f>
        <v>7.9000000000000001E-2</v>
      </c>
      <c r="EL229" s="2">
        <f ca="1">(BJ229*EJ229)/EK229</f>
        <v>18990840303.797466</v>
      </c>
      <c r="EM229" s="20">
        <v>-1908020896.4050634</v>
      </c>
      <c r="EN229" s="20">
        <f t="shared" ca="1" si="201"/>
        <v>-1914276702.6227846</v>
      </c>
      <c r="EP229" s="19">
        <f t="shared" ca="1" si="197"/>
        <v>3.2786885245899011E-3</v>
      </c>
      <c r="EQ229" s="40" t="str">
        <f>IF(VLOOKUP(BK229,Fundamentus!A:U,3,FALSE)&lt;15,"Bom",IF(VLOOKUP(BK229,Fundamentus!A:U,3,FALSE)&gt;15,"Ruim","n/a"))</f>
        <v>Bom</v>
      </c>
      <c r="ER229" s="36" t="str">
        <f>IF(VLOOKUP(BK229,Fundamentus!A:U,4,FALSE)&lt;1,"Baixo",IF(VLOOKUP(BK229,Fundamentus!A:U,4,FALSE)&lt;1.5,"Moderado",IF(VLOOKUP(BK229,Fundamentus!A:U,4,FALSE)&gt;1.5,"Alto","n/a")))</f>
        <v>Baixo</v>
      </c>
      <c r="ES229" s="20" t="str">
        <f>IF(VLOOKUP(BK229,Fundamentus!A:U,8,FALSE)&lt;0,"Risco elevado",IF(VLOOKUP(BK229,Fundamentus!A:U,8,FALSE)&lt;1,"Saudável",IF(VLOOKUP(BK229,Fundamentus!A:U,8,FALSE)&lt;3,"Estável",IF(VLOOKUP(BK229,Fundamentus!A:U,8,FALSE)&gt;3,"Alerta","n/a"))))</f>
        <v>Risco elevado</v>
      </c>
      <c r="ET229" s="36" t="str">
        <f t="shared" si="202"/>
        <v>Ruim</v>
      </c>
      <c r="EU229" s="20" t="str">
        <f>IF(VLOOKUP(BK229,Fundamentus!A:U,12,FALSE)&lt;2,"Subvalorizada",IF(VLOOKUP(BK229,Fundamentus!A:U,12,FALSE)&lt;6,"Muita barata",IF(VLOOKUP(BK229,Fundamentus!A:U,12,FALSE)&lt;6,"Barata",IF(VLOOKUP(BK229,Fundamentus!A:U,12,FALSE)&lt;8,"Atrativa",IF(VLOOKUP(BK229,Fundamentus!A:U,12,FALSE)&gt;8,"Supervalorizada","n/a")))))</f>
        <v>Subvalorizada</v>
      </c>
      <c r="EW229" s="20" t="str">
        <f>IF(VLOOKUP(BK229,Fundamentus!A:U,17,FALSE)&lt;0.1,"Fraco retorno",IF(VLOOKUP(BK229,Fundamentus!A:U,17,FALSE)&gt;0.1,"Bom retorno","n/a"))</f>
        <v>Fraco retorno</v>
      </c>
      <c r="EX229" s="20" t="str">
        <f>IF(VLOOKUP(BK229,Fundamentus!A:U,16,FALSE)&lt;0.1,"Ineficiente",IF(VLOOKUP(BK229,Fundamentus!A:U,16,FALSE)&gt;0.1,"Eficiente","n/a"))</f>
        <v>Eficiente</v>
      </c>
      <c r="EY229" s="41" t="str">
        <f>IF(VLOOKUP(BK229,Fundamentus!A:U,16,FALSE)&lt;0.1,"Oper. Ineficiente",IF(VLOOKUP(BK229,Fundamentus!A:U,16,FALSE)&gt;0.1,"Oper.Eficiente","n/a"))</f>
        <v>Oper.Eficiente</v>
      </c>
      <c r="EZ229" s="42">
        <f>VLOOKUP(BK229,Fundamentus!A:U,14,FALSE)</f>
        <v>-0.1008</v>
      </c>
      <c r="FA229" s="20" t="str">
        <f>IF(VLOOKUP(BK229,Fundamentus!A:U,21,FALSE)&lt;0,"Negativo",IF(VLOOKUP(BK229,Fundamentus!A:U,21,FALSE)&lt;0.05,"Fraco",IF(VLOOKUP(BK229,Fundamentus!A:U,21,FALSE)&lt;0.1,"Bom",IF(VLOOKUP(BK229,Fundamentus!A:U,21,FALSE)&gt;0.1,"Muito bom","n/a"))))</f>
        <v>Negativo</v>
      </c>
      <c r="FC229" s="37" t="str">
        <f>IF(VLOOKUP(BK229,Fundamentus!A:U,15,FALSE)&gt;1,"Bom",IF(VLOOKUP(BK229,Fundamentus!A:U,15,FALSE)&lt;1,"Ruim","n/a"))</f>
        <v>Ruim</v>
      </c>
      <c r="FD229" s="20" t="str">
        <f>IF(VLOOKUP(BK229,Fundamentus!A:U,20,FALSE)&lt;0.5,"Baixa",IF(VLOOKUP(BK229,Fundamentus!A:U,20,FALSE)&lt;1,"Moderada",IF(VLOOKUP(BK229,Fundamentus!A:U,20,FALSE)&lt;2,"Alerta",IF(VLOOKUP(BK229,Fundamentus!A:U,20,FALSE)&gt;2,"Alta","n/a"))))</f>
        <v>Alerta</v>
      </c>
    </row>
    <row r="230" spans="1:160" s="2" customFormat="1" ht="11.25" hidden="1"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8">
        <v>7.45</v>
      </c>
      <c r="BC230" s="62">
        <v>8.35</v>
      </c>
      <c r="BD230" s="62">
        <v>7.28</v>
      </c>
      <c r="BE230" s="62">
        <v>8.02</v>
      </c>
      <c r="BF230" s="62">
        <v>7.44</v>
      </c>
      <c r="BG230" s="81">
        <v>7.06</v>
      </c>
      <c r="BH230" s="62">
        <v>6.99</v>
      </c>
      <c r="BI230" s="62">
        <v>7.06</v>
      </c>
      <c r="BJ230" s="62" cm="1">
        <f t="array" aca="1" ref="BJ230" ca="1">_FV(EH230,"Preço")</f>
        <v>6.99</v>
      </c>
      <c r="BK230" s="83" t="s">
        <v>226</v>
      </c>
      <c r="BL230" s="44" cm="1">
        <f t="array" aca="1" ref="BL230" ca="1">_FV(EH230,"Média de volume",TRUE)</f>
        <v>3007440</v>
      </c>
      <c r="BM230" s="44">
        <v>2220700</v>
      </c>
      <c r="BN230" s="44" cm="1">
        <f t="array" aca="1" ref="BN230" ca="1">_FV(EH230,"Volume")</f>
        <v>455300</v>
      </c>
      <c r="BO230" s="32" cm="1">
        <f t="array" aca="1" ref="BO230" ca="1">_FV(EH230,"Beta")</f>
        <v>1.8963000000000001</v>
      </c>
      <c r="BP230" s="86" cm="1">
        <f t="array" aca="1" ref="BP230" ca="1">_FV(EH230,"Variação (%)",TRUE)</f>
        <v>-9.9150000000000002E-3</v>
      </c>
      <c r="BQ230" s="48"/>
      <c r="BR230" s="48"/>
      <c r="BT230" s="20" cm="1">
        <f t="array" aca="1" ref="BT230" ca="1">_FV(EH230,"Baixo")</f>
        <v>6.96</v>
      </c>
      <c r="BU230" s="20" cm="1">
        <f t="array" aca="1" ref="BU230" ca="1">_FV(EH230,"Alto")</f>
        <v>7.08</v>
      </c>
      <c r="BV230" s="32"/>
      <c r="BW230" s="73" t="e">
        <f ca="1">SQRT(22.5*(BJ230/VLOOKUP(BK230,Fundamentus!A:U,3,FALSE))*(BJ230/VLOOKUP(BK230,Fundamentus!A:U,4,FALSE)))</f>
        <v>#NUM!</v>
      </c>
      <c r="BY230" s="72">
        <f t="shared" ca="1" si="198"/>
        <v>-9.9150141643058638E-3</v>
      </c>
      <c r="BZ230" s="8"/>
      <c r="CA230" s="71">
        <f t="shared" si="205"/>
        <v>2.61</v>
      </c>
      <c r="CB230" s="71">
        <f t="shared" si="199"/>
        <v>8.35</v>
      </c>
      <c r="CC230" s="71">
        <f t="shared" si="206"/>
        <v>4.7363934426229504</v>
      </c>
      <c r="CD230" s="17"/>
      <c r="CE230" s="43">
        <f t="shared" si="203"/>
        <v>6.4810579143419442</v>
      </c>
      <c r="CF230" s="18">
        <f>FORECAST("04/07/2025", BF230:BI230, $BF$5:$BI$5)</f>
        <v>6.8350000000000364</v>
      </c>
      <c r="CG230" s="43">
        <f t="shared" si="204"/>
        <v>7.1889420856581285</v>
      </c>
      <c r="CI230" s="17"/>
      <c r="CJ230" s="20">
        <f>CA230-2*(CB230-CM230)</f>
        <v>-2.0766666666666658</v>
      </c>
      <c r="CK230" s="20">
        <f>CM230-(CB230-CA230)</f>
        <v>0.26666666666666661</v>
      </c>
      <c r="CL230" s="20">
        <f>2*CM230-CB230</f>
        <v>3.663333333333334</v>
      </c>
      <c r="CM230" s="48">
        <f>(CB230+CA230+BI230)/3</f>
        <v>6.0066666666666668</v>
      </c>
      <c r="CN230" s="20">
        <f>2*CM230-CA230</f>
        <v>9.4033333333333342</v>
      </c>
      <c r="CO230" s="20">
        <f>CM230+(CB230-CA230)</f>
        <v>11.746666666666666</v>
      </c>
      <c r="CP230" s="20">
        <f>CB230+2*(CM230-CA230)</f>
        <v>15.143333333333334</v>
      </c>
      <c r="CQ230" s="2" cm="1">
        <f t="array" aca="1" ref="CQ230" ca="1">MAX(_xlfn._xlws.FILTER(CJ230:CP230,CJ230:CP230&lt;BJ230))</f>
        <v>6.0066666666666668</v>
      </c>
      <c r="CR230" s="2" cm="1">
        <f t="array" aca="1" ref="CR230" ca="1">MIN(_xlfn._xlws.FILTER($CJ230:$CP230,$CJ230:$CP230&gt;BJ230))</f>
        <v>9.4033333333333342</v>
      </c>
      <c r="CS230" s="19">
        <f t="shared" ca="1" si="207"/>
        <v>0.56548279689234193</v>
      </c>
      <c r="CT230" s="23">
        <f t="shared" ca="1" si="208"/>
        <v>-0.28274139844617097</v>
      </c>
      <c r="CU230" s="23">
        <f t="shared" ca="1" si="209"/>
        <v>-0.18849426563078064</v>
      </c>
      <c r="CV230" s="23">
        <f t="shared" ca="1" si="210"/>
        <v>-0.11309655937846838</v>
      </c>
      <c r="CW230" s="23">
        <f t="shared" ca="1" si="211"/>
        <v>-6.2831421876926877E-2</v>
      </c>
      <c r="CX230" s="23">
        <f t="shared" ca="1" si="212"/>
        <v>-3.3263693934843644E-2</v>
      </c>
      <c r="CY230" s="23">
        <f t="shared" ca="1" si="213"/>
        <v>-1.7135842330070969E-2</v>
      </c>
      <c r="CZ230" s="23">
        <f t="shared" ca="1" si="214"/>
        <v>-8.6997353368052609E-3</v>
      </c>
      <c r="DA230" s="24">
        <f t="shared" ca="1" si="215"/>
        <v>8.6997353368052609E-3</v>
      </c>
      <c r="DB230" s="24">
        <f t="shared" ca="1" si="216"/>
        <v>1.7135842330070969E-2</v>
      </c>
      <c r="DC230" s="24">
        <f t="shared" ca="1" si="217"/>
        <v>3.3263693934843644E-2</v>
      </c>
      <c r="DD230" s="24">
        <f t="shared" ca="1" si="218"/>
        <v>6.2831421876926877E-2</v>
      </c>
      <c r="DE230" s="24">
        <f t="shared" ca="1" si="219"/>
        <v>0.11309655937846838</v>
      </c>
      <c r="DF230" s="24">
        <f t="shared" ca="1" si="220"/>
        <v>0.18849426563078064</v>
      </c>
      <c r="DG230" s="24">
        <f t="shared" ca="1" si="221"/>
        <v>0.28274139844617097</v>
      </c>
      <c r="DI230" s="19" cm="1">
        <f t="array" aca="1" ref="DI230" ca="1">MAX(_xlfn._xlws.FILTER(CT230:DG230,CT230:DG230&lt;BP230))</f>
        <v>-1.7135842330070969E-2</v>
      </c>
      <c r="DJ230" s="19" cm="1">
        <f t="array" aca="1" ref="DJ230" ca="1">MIN(_xlfn._xlws.FILTER(CT230:DG230,CT230:DG230&gt;BP230))</f>
        <v>-8.6997353368052609E-3</v>
      </c>
      <c r="DK230" s="2" cm="1">
        <f t="array" aca="1" ref="DK230" ca="1">_FV(EH230,"Fechamento anterior",TRUE)</f>
        <v>7.06</v>
      </c>
      <c r="DL230" s="36">
        <f ca="1">(BJ230-DM230)/(DN230-DM230)</f>
        <v>0.85594317041371293</v>
      </c>
      <c r="DM230" s="18">
        <f t="shared" ca="1" si="222"/>
        <v>6.9390209531496989</v>
      </c>
      <c r="DN230" s="18">
        <f t="shared" ca="1" si="223"/>
        <v>6.9985798685221541</v>
      </c>
      <c r="DO230" s="9"/>
      <c r="DP230" s="9"/>
      <c r="DQ230" s="94">
        <v>5.3812170443209337E-2</v>
      </c>
      <c r="DR230" s="94">
        <v>2.6060050328053502E-2</v>
      </c>
      <c r="DS230" s="94">
        <v>2.9567727942083233E-2</v>
      </c>
      <c r="DT230" s="94">
        <f t="shared" ca="1" si="200"/>
        <v>8.436106993265708E-3</v>
      </c>
      <c r="DU230" s="87">
        <f ca="1">(BJ230-CF230)/(CF230-CE230)</f>
        <v>0.43792475176205448</v>
      </c>
      <c r="DV230" s="46"/>
      <c r="DW230" s="43">
        <f>_xlfn.STDEV.P(BF230:BI230)</f>
        <v>0.17697104282904613</v>
      </c>
      <c r="DX230" s="76">
        <f ca="1">BO230-$DT$2</f>
        <v>0.8992</v>
      </c>
      <c r="DY230" s="76">
        <f ca="1">BO230-BP230*100</f>
        <v>2.8878000000000004</v>
      </c>
      <c r="DZ230" s="101"/>
      <c r="EA230" s="100">
        <v>-1.2332999999999998</v>
      </c>
      <c r="EB230" s="107">
        <v>0.11039999999999983</v>
      </c>
      <c r="EC230" s="107">
        <v>-0.10159999999999991</v>
      </c>
      <c r="ED230" s="98">
        <f t="shared" ca="1" si="196"/>
        <v>-1.9886000000000004</v>
      </c>
      <c r="EE230" s="66"/>
      <c r="EF230" s="66"/>
      <c r="EH230" s="2" t="e" vm="232">
        <v>#VALUE!</v>
      </c>
      <c r="EJ230" s="10" cm="1">
        <f t="array" aca="1" ref="EJ230" ca="1">_FV(EH230,"Ações em circulação",TRUE)</f>
        <v>112695900</v>
      </c>
      <c r="EK230" s="21">
        <f>VLOOKUP(BK230,Fundamentus!A:U,5,FALSE)</f>
        <v>2.077</v>
      </c>
      <c r="EL230" s="2">
        <f ca="1">(BJ230*EJ230)/EK230</f>
        <v>379270265.28647089</v>
      </c>
      <c r="EM230" s="20">
        <v>-20417545.391526241</v>
      </c>
      <c r="EN230" s="20">
        <f t="shared" ca="1" si="201"/>
        <v>-20215105.139768898</v>
      </c>
      <c r="EP230" s="19">
        <f t="shared" ca="1" si="197"/>
        <v>-9.9150141643059575E-3</v>
      </c>
      <c r="EQ230" s="40" t="str">
        <f>IF(VLOOKUP(BK230,Fundamentus!A:U,3,FALSE)&lt;15,"Bom",IF(VLOOKUP(BK230,Fundamentus!A:U,3,FALSE)&gt;15,"Ruim","n/a"))</f>
        <v>Bom</v>
      </c>
      <c r="ER230" s="36" t="str">
        <f>IF(VLOOKUP(BK230,Fundamentus!A:U,4,FALSE)&lt;1,"Baixo",IF(VLOOKUP(BK230,Fundamentus!A:U,4,FALSE)&lt;1.5,"Moderado",IF(VLOOKUP(BK230,Fundamentus!A:U,4,FALSE)&gt;1.5,"Alto","n/a")))</f>
        <v>Alto</v>
      </c>
      <c r="ES230" s="20" t="str">
        <f>IF(VLOOKUP(BK230,Fundamentus!A:U,8,FALSE)&lt;0,"Risco elevado",IF(VLOOKUP(BK230,Fundamentus!A:U,8,FALSE)&lt;1,"Saudável",IF(VLOOKUP(BK230,Fundamentus!A:U,8,FALSE)&lt;3,"Estável",IF(VLOOKUP(BK230,Fundamentus!A:U,8,FALSE)&gt;3,"Alerta","n/a"))))</f>
        <v>Alerta</v>
      </c>
      <c r="ET230" s="36" t="str">
        <f t="shared" si="202"/>
        <v>Bom</v>
      </c>
      <c r="EU230" s="20" t="str">
        <f>IF(VLOOKUP(BK230,Fundamentus!A:U,12,FALSE)&lt;2,"Subvalorizada",IF(VLOOKUP(BK230,Fundamentus!A:U,12,FALSE)&lt;6,"Muita barata",IF(VLOOKUP(BK230,Fundamentus!A:U,12,FALSE)&lt;6,"Barata",IF(VLOOKUP(BK230,Fundamentus!A:U,12,FALSE)&lt;8,"Atrativa",IF(VLOOKUP(BK230,Fundamentus!A:U,12,FALSE)&gt;8,"Supervalorizada","n/a")))))</f>
        <v>Subvalorizada</v>
      </c>
      <c r="EW230" s="20" t="str">
        <f>IF(VLOOKUP(BK230,Fundamentus!A:U,17,FALSE)&lt;0.1,"Fraco retorno",IF(VLOOKUP(BK230,Fundamentus!A:U,17,FALSE)&gt;0.1,"Bom retorno","n/a"))</f>
        <v>Fraco retorno</v>
      </c>
      <c r="EX230" s="20" t="str">
        <f>IF(VLOOKUP(BK230,Fundamentus!A:U,16,FALSE)&lt;0.1,"Ineficiente",IF(VLOOKUP(BK230,Fundamentus!A:U,16,FALSE)&gt;0.1,"Eficiente","n/a"))</f>
        <v>Ineficiente</v>
      </c>
      <c r="EY230" s="41" t="str">
        <f>IF(VLOOKUP(BK230,Fundamentus!A:U,16,FALSE)&lt;0.1,"Oper. Ineficiente",IF(VLOOKUP(BK230,Fundamentus!A:U,16,FALSE)&gt;0.1,"Oper.Eficiente","n/a"))</f>
        <v>Oper. Ineficiente</v>
      </c>
      <c r="EZ230" s="42">
        <f>VLOOKUP(BK230,Fundamentus!A:U,14,FALSE)</f>
        <v>-5.33E-2</v>
      </c>
      <c r="FA230" s="20" t="str">
        <f>IF(VLOOKUP(BK230,Fundamentus!A:U,21,FALSE)&lt;0,"Negativo",IF(VLOOKUP(BK230,Fundamentus!A:U,21,FALSE)&lt;0.05,"Fraco",IF(VLOOKUP(BK230,Fundamentus!A:U,21,FALSE)&lt;0.1,"Bom",IF(VLOOKUP(BK230,Fundamentus!A:U,21,FALSE)&gt;0.1,"Muito bom","n/a"))))</f>
        <v>Muito bom</v>
      </c>
      <c r="FC230" s="37" t="str">
        <f>IF(VLOOKUP(BK230,Fundamentus!A:U,15,FALSE)&gt;1,"Bom",IF(VLOOKUP(BK230,Fundamentus!A:U,15,FALSE)&lt;1,"Ruim","n/a"))</f>
        <v>Bom</v>
      </c>
      <c r="FD230" s="20" t="str">
        <f>IF(VLOOKUP(BK230,Fundamentus!A:U,20,FALSE)&lt;0.5,"Baixa",IF(VLOOKUP(BK230,Fundamentus!A:U,20,FALSE)&lt;1,"Moderada",IF(VLOOKUP(BK230,Fundamentus!A:U,20,FALSE)&lt;2,"Alerta",IF(VLOOKUP(BK230,Fundamentus!A:U,20,FALSE)&gt;2,"Alta","n/a"))))</f>
        <v>Baixa</v>
      </c>
    </row>
    <row r="231" spans="1:160" s="2" customFormat="1" ht="11.25" hidden="1"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8">
        <v>3.78</v>
      </c>
      <c r="BC231" s="62">
        <v>3.91</v>
      </c>
      <c r="BD231" s="62">
        <v>4.03</v>
      </c>
      <c r="BE231" s="62">
        <v>5.18</v>
      </c>
      <c r="BF231" s="62">
        <v>4.54</v>
      </c>
      <c r="BG231" s="81">
        <v>3.93</v>
      </c>
      <c r="BH231" s="62">
        <v>4.1100000000000003</v>
      </c>
      <c r="BI231" s="62">
        <v>3.83</v>
      </c>
      <c r="BJ231" s="62" cm="1">
        <f t="array" aca="1" ref="BJ231" ca="1">_FV(EH231,"Preço")</f>
        <v>3.85</v>
      </c>
      <c r="BK231" s="83" t="s">
        <v>227</v>
      </c>
      <c r="BL231" s="44" cm="1">
        <f t="array" aca="1" ref="BL231" ca="1">_FV(EH231,"Média de volume",TRUE)</f>
        <v>27250</v>
      </c>
      <c r="BM231" s="44">
        <v>18200</v>
      </c>
      <c r="BN231" s="44" cm="1">
        <f t="array" aca="1" ref="BN231" ca="1">_FV(EH231,"Volume")</f>
        <v>1200</v>
      </c>
      <c r="BO231" s="32" cm="1">
        <f t="array" aca="1" ref="BO231" ca="1">_FV(EH231,"Beta")</f>
        <v>0.51029999999999998</v>
      </c>
      <c r="BP231" s="86" cm="1">
        <f t="array" aca="1" ref="BP231" ca="1">_FV(EH231,"Variação (%)",TRUE)</f>
        <v>5.2220000000000001E-3</v>
      </c>
      <c r="BQ231" s="48"/>
      <c r="BR231" s="48"/>
      <c r="BT231" s="20" cm="1">
        <f t="array" aca="1" ref="BT231" ca="1">_FV(EH231,"Baixo")</f>
        <v>3.79</v>
      </c>
      <c r="BU231" s="20" cm="1">
        <f t="array" aca="1" ref="BU231" ca="1">_FV(EH231,"Alto")</f>
        <v>3.85</v>
      </c>
      <c r="BV231" s="32"/>
      <c r="BW231" s="73">
        <f ca="1">SQRT(22.5*(BJ231/VLOOKUP(BK231,Fundamentus!A:U,3,FALSE))*(BJ231/VLOOKUP(BK231,Fundamentus!A:U,4,FALSE)))</f>
        <v>89.323112468457069</v>
      </c>
      <c r="BY231" s="72">
        <f t="shared" ca="1" si="198"/>
        <v>5.2219321148825109E-3</v>
      </c>
      <c r="BZ231" s="8"/>
      <c r="CA231" s="71">
        <f t="shared" si="205"/>
        <v>3.2</v>
      </c>
      <c r="CB231" s="71">
        <f t="shared" si="199"/>
        <v>7.31</v>
      </c>
      <c r="CC231" s="71">
        <f t="shared" si="206"/>
        <v>4.4258196721311487</v>
      </c>
      <c r="CD231" s="17"/>
      <c r="CE231" s="43">
        <f t="shared" si="203"/>
        <v>3.0714238783758159</v>
      </c>
      <c r="CF231" s="18">
        <f>FORECAST("04/07/2025", BF231:BI231, $BF$5:$BI$5)</f>
        <v>3.6150000000000091</v>
      </c>
      <c r="CG231" s="43">
        <f t="shared" si="204"/>
        <v>4.1585761216242023</v>
      </c>
      <c r="CI231" s="17"/>
      <c r="CJ231" s="20">
        <f>CA231-2*(CB231-CM231)</f>
        <v>-1.8599999999999985</v>
      </c>
      <c r="CK231" s="20">
        <f>CM231-(CB231-CA231)</f>
        <v>0.67000000000000082</v>
      </c>
      <c r="CL231" s="20">
        <f>2*CM231-CB231</f>
        <v>2.2500000000000009</v>
      </c>
      <c r="CM231" s="48">
        <f>(CB231+CA231+BI231)/3</f>
        <v>4.78</v>
      </c>
      <c r="CN231" s="20">
        <f>2*CM231-CA231</f>
        <v>6.36</v>
      </c>
      <c r="CO231" s="20">
        <f>CM231+(CB231-CA231)</f>
        <v>8.89</v>
      </c>
      <c r="CP231" s="20">
        <f>CB231+2*(CM231-CA231)</f>
        <v>10.469999999999999</v>
      </c>
      <c r="CQ231" s="2" cm="1">
        <f t="array" aca="1" ref="CQ231" ca="1">MAX(_xlfn._xlws.FILTER(CJ231:CP231,CJ231:CP231&lt;BJ231))</f>
        <v>2.2500000000000009</v>
      </c>
      <c r="CR231" s="2" cm="1">
        <f t="array" aca="1" ref="CR231" ca="1">MIN(_xlfn._xlws.FILTER($CJ231:$CP231,$CJ231:$CP231&gt;BJ231))</f>
        <v>4.78</v>
      </c>
      <c r="CS231" s="19">
        <f t="shared" ca="1" si="207"/>
        <v>1.1244444444444439</v>
      </c>
      <c r="CT231" s="23">
        <f t="shared" ca="1" si="208"/>
        <v>-0.56222222222222196</v>
      </c>
      <c r="CU231" s="23">
        <f t="shared" ca="1" si="209"/>
        <v>-0.37481481481481466</v>
      </c>
      <c r="CV231" s="23">
        <f t="shared" ca="1" si="210"/>
        <v>-0.22488888888888878</v>
      </c>
      <c r="CW231" s="23">
        <f t="shared" ca="1" si="211"/>
        <v>-0.12493827160493821</v>
      </c>
      <c r="CX231" s="23">
        <f t="shared" ca="1" si="212"/>
        <v>-6.6143790849673173E-2</v>
      </c>
      <c r="CY231" s="23">
        <f t="shared" ca="1" si="213"/>
        <v>-3.4074074074074055E-2</v>
      </c>
      <c r="CZ231" s="23">
        <f t="shared" ca="1" si="214"/>
        <v>-1.729914529914529E-2</v>
      </c>
      <c r="DA231" s="24">
        <f t="shared" ca="1" si="215"/>
        <v>1.729914529914529E-2</v>
      </c>
      <c r="DB231" s="24">
        <f t="shared" ca="1" si="216"/>
        <v>3.4074074074074055E-2</v>
      </c>
      <c r="DC231" s="24">
        <f t="shared" ca="1" si="217"/>
        <v>6.6143790849673173E-2</v>
      </c>
      <c r="DD231" s="24">
        <f t="shared" ca="1" si="218"/>
        <v>0.12493827160493821</v>
      </c>
      <c r="DE231" s="24">
        <f t="shared" ca="1" si="219"/>
        <v>0.22488888888888878</v>
      </c>
      <c r="DF231" s="24">
        <f t="shared" ca="1" si="220"/>
        <v>0.37481481481481466</v>
      </c>
      <c r="DG231" s="24">
        <f t="shared" ca="1" si="221"/>
        <v>0.56222222222222196</v>
      </c>
      <c r="DI231" s="19" cm="1">
        <f t="array" aca="1" ref="DI231" ca="1">MAX(_xlfn._xlws.FILTER(CT231:DG231,CT231:DG231&lt;BP231))</f>
        <v>-1.729914529914529E-2</v>
      </c>
      <c r="DJ231" s="19" cm="1">
        <f t="array" aca="1" ref="DJ231" ca="1">MIN(_xlfn._xlws.FILTER(CT231:DG231,CT231:DG231&gt;BP231))</f>
        <v>1.729914529914529E-2</v>
      </c>
      <c r="DK231" s="2" cm="1">
        <f t="array" aca="1" ref="DK231" ca="1">_FV(EH231,"Fechamento anterior",TRUE)</f>
        <v>3.83</v>
      </c>
      <c r="DL231" s="36">
        <f ca="1">(BJ231-DM231)/(DN231-DM231)</f>
        <v>0.65093035015841216</v>
      </c>
      <c r="DM231" s="18">
        <f t="shared" ca="1" si="222"/>
        <v>3.7637442735042734</v>
      </c>
      <c r="DN231" s="18">
        <f t="shared" ca="1" si="223"/>
        <v>3.8962557264957267</v>
      </c>
      <c r="DO231" s="9"/>
      <c r="DP231" s="9"/>
      <c r="DQ231" s="94">
        <v>1.1699855986492522E-2</v>
      </c>
      <c r="DR231" s="94">
        <v>2.1895452613684658E-2</v>
      </c>
      <c r="DS231" s="94">
        <v>3.0736480334449007E-2</v>
      </c>
      <c r="DT231" s="94">
        <f t="shared" ca="1" si="200"/>
        <v>3.4598290598290581E-2</v>
      </c>
      <c r="DU231" s="87">
        <f ca="1">(BJ231-CF231)/(CF231-CE231)</f>
        <v>0.43232215443499666</v>
      </c>
      <c r="DV231" s="46"/>
      <c r="DW231" s="43">
        <f>_xlfn.STDEV.P(BF231:BI231)</f>
        <v>0.27178806081209672</v>
      </c>
      <c r="DX231" s="76">
        <f ca="1">BO231-$DT$2</f>
        <v>-0.48680000000000012</v>
      </c>
      <c r="DY231" s="76">
        <f ca="1">BO231-BP231*100</f>
        <v>-1.1900000000000022E-2</v>
      </c>
      <c r="DZ231" s="101"/>
      <c r="EA231" s="100">
        <v>-0.20259999999999989</v>
      </c>
      <c r="EB231" s="107">
        <v>4.7683</v>
      </c>
      <c r="EC231" s="107">
        <v>3.4154</v>
      </c>
      <c r="ED231" s="98">
        <f t="shared" ca="1" si="196"/>
        <v>-0.4749000000000001</v>
      </c>
      <c r="EE231" s="66"/>
      <c r="EF231" s="66"/>
      <c r="EH231" s="2" t="e" vm="233">
        <v>#VALUE!</v>
      </c>
      <c r="EJ231" s="10" cm="1">
        <f t="array" aca="1" ref="EJ231" ca="1">_FV(EH231,"Ações em circulação",TRUE)</f>
        <v>53857280</v>
      </c>
      <c r="EK231" s="21">
        <f>VLOOKUP(BK231,Fundamentus!A:U,5,FALSE)</f>
        <v>4.7E-2</v>
      </c>
      <c r="EL231" s="2">
        <f ca="1">(BJ231*EJ231)/EK231</f>
        <v>4411713361.7021275</v>
      </c>
      <c r="EM231" s="20">
        <v>-918574870.98553193</v>
      </c>
      <c r="EN231" s="20">
        <f t="shared" ca="1" si="201"/>
        <v>-923371606.60425532</v>
      </c>
      <c r="EP231" s="19">
        <f t="shared" ca="1" si="197"/>
        <v>5.2219321148825326E-3</v>
      </c>
      <c r="EQ231" s="40" t="str">
        <f>IF(VLOOKUP(BK231,Fundamentus!A:U,3,FALSE)&lt;15,"Bom",IF(VLOOKUP(BK231,Fundamentus!A:U,3,FALSE)&gt;15,"Ruim","n/a"))</f>
        <v>Bom</v>
      </c>
      <c r="ER231" s="36" t="str">
        <f>IF(VLOOKUP(BK231,Fundamentus!A:U,4,FALSE)&lt;1,"Baixo",IF(VLOOKUP(BK231,Fundamentus!A:U,4,FALSE)&lt;1.5,"Moderado",IF(VLOOKUP(BK231,Fundamentus!A:U,4,FALSE)&gt;1.5,"Alto","n/a")))</f>
        <v>Baixo</v>
      </c>
      <c r="ES231" s="20" t="str">
        <f>IF(VLOOKUP(BK231,Fundamentus!A:U,8,FALSE)&lt;0,"Risco elevado",IF(VLOOKUP(BK231,Fundamentus!A:U,8,FALSE)&lt;1,"Saudável",IF(VLOOKUP(BK231,Fundamentus!A:U,8,FALSE)&lt;3,"Estável",IF(VLOOKUP(BK231,Fundamentus!A:U,8,FALSE)&gt;3,"Alerta","n/a"))))</f>
        <v>Risco elevado</v>
      </c>
      <c r="ET231" s="36" t="str">
        <f t="shared" si="202"/>
        <v>Ruim</v>
      </c>
      <c r="EU231" s="20" t="str">
        <f>IF(VLOOKUP(BK231,Fundamentus!A:U,12,FALSE)&lt;2,"Subvalorizada",IF(VLOOKUP(BK231,Fundamentus!A:U,12,FALSE)&lt;6,"Muita barata",IF(VLOOKUP(BK231,Fundamentus!A:U,12,FALSE)&lt;6,"Barata",IF(VLOOKUP(BK231,Fundamentus!A:U,12,FALSE)&lt;8,"Atrativa",IF(VLOOKUP(BK231,Fundamentus!A:U,12,FALSE)&gt;8,"Supervalorizada","n/a")))))</f>
        <v>Subvalorizada</v>
      </c>
      <c r="EW231" s="20" t="str">
        <f>IF(VLOOKUP(BK231,Fundamentus!A:U,17,FALSE)&lt;0.1,"Fraco retorno",IF(VLOOKUP(BK231,Fundamentus!A:U,17,FALSE)&gt;0.1,"Bom retorno","n/a"))</f>
        <v>Bom retorno</v>
      </c>
      <c r="EX231" s="20" t="str">
        <f>IF(VLOOKUP(BK231,Fundamentus!A:U,16,FALSE)&lt;0.1,"Ineficiente",IF(VLOOKUP(BK231,Fundamentus!A:U,16,FALSE)&gt;0.1,"Eficiente","n/a"))</f>
        <v>Ineficiente</v>
      </c>
      <c r="EY231" s="41" t="str">
        <f>IF(VLOOKUP(BK231,Fundamentus!A:U,16,FALSE)&lt;0.1,"Oper. Ineficiente",IF(VLOOKUP(BK231,Fundamentus!A:U,16,FALSE)&gt;0.1,"Oper.Eficiente","n/a"))</f>
        <v>Oper. Ineficiente</v>
      </c>
      <c r="EZ231" s="42">
        <f>VLOOKUP(BK231,Fundamentus!A:U,14,FALSE)</f>
        <v>-0.20930000000000001</v>
      </c>
      <c r="FA231" s="20" t="str">
        <f>IF(VLOOKUP(BK231,Fundamentus!A:U,21,FALSE)&lt;0,"Negativo",IF(VLOOKUP(BK231,Fundamentus!A:U,21,FALSE)&lt;0.05,"Fraco",IF(VLOOKUP(BK231,Fundamentus!A:U,21,FALSE)&lt;0.1,"Bom",IF(VLOOKUP(BK231,Fundamentus!A:U,21,FALSE)&gt;0.1,"Muito bom","n/a"))))</f>
        <v>Muito bom</v>
      </c>
      <c r="FC231" s="37" t="str">
        <f>IF(VLOOKUP(BK231,Fundamentus!A:U,15,FALSE)&gt;1,"Bom",IF(VLOOKUP(BK231,Fundamentus!A:U,15,FALSE)&lt;1,"Ruim","n/a"))</f>
        <v>Ruim</v>
      </c>
      <c r="FD231" s="20" t="str">
        <f>IF(VLOOKUP(BK231,Fundamentus!A:U,20,FALSE)&lt;0.5,"Baixa",IF(VLOOKUP(BK231,Fundamentus!A:U,20,FALSE)&lt;1,"Moderada",IF(VLOOKUP(BK231,Fundamentus!A:U,20,FALSE)&lt;2,"Alerta",IF(VLOOKUP(BK231,Fundamentus!A:U,20,FALSE)&gt;2,"Alta","n/a"))))</f>
        <v>Baixa</v>
      </c>
    </row>
    <row r="232" spans="1:160" s="2" customFormat="1" ht="11.25" hidden="1"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8">
        <v>1.24</v>
      </c>
      <c r="BC232" s="62">
        <v>1.29</v>
      </c>
      <c r="BD232" s="62">
        <v>1.23</v>
      </c>
      <c r="BE232" s="62">
        <v>1.22</v>
      </c>
      <c r="BF232" s="62">
        <v>1.23</v>
      </c>
      <c r="BG232" s="81">
        <v>1.24</v>
      </c>
      <c r="BH232" s="62">
        <v>23.79</v>
      </c>
      <c r="BI232" s="62">
        <v>20.46</v>
      </c>
      <c r="BJ232" s="62" cm="1">
        <f t="array" aca="1" ref="BJ232" ca="1">_FV(EH232,"Preço")</f>
        <v>20.5</v>
      </c>
      <c r="BK232" s="83" t="s">
        <v>228</v>
      </c>
      <c r="BL232" s="44" cm="1">
        <f t="array" aca="1" ref="BL232" ca="1">_FV(EH232,"Média de volume",TRUE)</f>
        <v>537900</v>
      </c>
      <c r="BM232" s="44">
        <v>205500</v>
      </c>
      <c r="BN232" s="44" cm="1">
        <f t="array" aca="1" ref="BN232" ca="1">_FV(EH232,"Volume")</f>
        <v>63200</v>
      </c>
      <c r="BO232" s="32" cm="1">
        <f t="array" aca="1" ref="BO232" ca="1">_FV(EH232,"Beta")</f>
        <v>1.8306</v>
      </c>
      <c r="BP232" s="86" cm="1">
        <f t="array" aca="1" ref="BP232" ca="1">_FV(EH232,"Variação (%)",TRUE)</f>
        <v>1.9550000000000001E-3</v>
      </c>
      <c r="BQ232" s="48"/>
      <c r="BR232" s="48"/>
      <c r="BT232" s="20" cm="1">
        <f t="array" aca="1" ref="BT232" ca="1">_FV(EH232,"Baixo")</f>
        <v>20.21</v>
      </c>
      <c r="BU232" s="20" cm="1">
        <f t="array" aca="1" ref="BU232" ca="1">_FV(EH232,"Alto")</f>
        <v>20.7</v>
      </c>
      <c r="BV232" s="32"/>
      <c r="BW232" s="73" t="e">
        <f ca="1">SQRT(22.5*(BJ232/VLOOKUP(BK232,Fundamentus!A:U,3,FALSE))*(BJ232/VLOOKUP(BK232,Fundamentus!A:U,4,FALSE)))</f>
        <v>#NUM!</v>
      </c>
      <c r="BY232" s="72">
        <f t="shared" ca="1" si="198"/>
        <v>1.9550342130986876E-3</v>
      </c>
      <c r="BZ232" s="8"/>
      <c r="CA232" s="71">
        <f t="shared" si="205"/>
        <v>1.1000000000000001</v>
      </c>
      <c r="CB232" s="71">
        <f t="shared" si="199"/>
        <v>23.79</v>
      </c>
      <c r="CC232" s="71">
        <f t="shared" si="206"/>
        <v>2.8447540983606556</v>
      </c>
      <c r="CD232" s="17"/>
      <c r="CE232" s="43">
        <f t="shared" si="203"/>
        <v>10.717711827686795</v>
      </c>
      <c r="CF232" s="18">
        <f>FORECAST("04/07/2025", BF232:BI232, $BF$5:$BI$5)</f>
        <v>31.740000000005239</v>
      </c>
      <c r="CG232" s="43">
        <f t="shared" si="204"/>
        <v>52.762288172323679</v>
      </c>
      <c r="CI232" s="17"/>
      <c r="CJ232" s="20">
        <f>CA232-2*(CB232-CM232)</f>
        <v>-16.246666666666663</v>
      </c>
      <c r="CK232" s="20">
        <f>CM232-(CB232-CA232)</f>
        <v>-7.5733333333333306</v>
      </c>
      <c r="CL232" s="20">
        <f>2*CM232-CB232</f>
        <v>6.4433333333333351</v>
      </c>
      <c r="CM232" s="48">
        <f>(CB232+CA232+BI232)/3</f>
        <v>15.116666666666667</v>
      </c>
      <c r="CN232" s="20">
        <f>2*CM232-CA232</f>
        <v>29.133333333333333</v>
      </c>
      <c r="CO232" s="20">
        <f>CM232+(CB232-CA232)</f>
        <v>37.806666666666665</v>
      </c>
      <c r="CP232" s="20">
        <f>CB232+2*(CM232-CA232)</f>
        <v>51.823333333333338</v>
      </c>
      <c r="CQ232" s="2" cm="1">
        <f t="array" aca="1" ref="CQ232" ca="1">MAX(_xlfn._xlws.FILTER(CJ232:CP232,CJ232:CP232&lt;BJ232))</f>
        <v>15.116666666666667</v>
      </c>
      <c r="CR232" s="2" cm="1">
        <f t="array" aca="1" ref="CR232" ca="1">MIN(_xlfn._xlws.FILTER($CJ232:$CP232,$CJ232:$CP232&gt;BJ232))</f>
        <v>29.133333333333333</v>
      </c>
      <c r="CS232" s="19">
        <f t="shared" ca="1" si="207"/>
        <v>0.92723263506063947</v>
      </c>
      <c r="CT232" s="23">
        <f t="shared" ca="1" si="208"/>
        <v>-0.46361631753031973</v>
      </c>
      <c r="CU232" s="23">
        <f t="shared" ca="1" si="209"/>
        <v>-0.30907754502021317</v>
      </c>
      <c r="CV232" s="23">
        <f t="shared" ca="1" si="210"/>
        <v>-0.18544652701212788</v>
      </c>
      <c r="CW232" s="23">
        <f t="shared" ca="1" si="211"/>
        <v>-0.10302584834007106</v>
      </c>
      <c r="CX232" s="23">
        <f t="shared" ca="1" si="212"/>
        <v>-5.4543096180037616E-2</v>
      </c>
      <c r="CY232" s="23">
        <f t="shared" ca="1" si="213"/>
        <v>-2.8097958638201196E-2</v>
      </c>
      <c r="CZ232" s="23">
        <f t="shared" ca="1" si="214"/>
        <v>-1.4265117462471376E-2</v>
      </c>
      <c r="DA232" s="24">
        <f t="shared" ca="1" si="215"/>
        <v>1.4265117462471376E-2</v>
      </c>
      <c r="DB232" s="24">
        <f t="shared" ca="1" si="216"/>
        <v>2.8097958638201196E-2</v>
      </c>
      <c r="DC232" s="24">
        <f t="shared" ca="1" si="217"/>
        <v>5.4543096180037616E-2</v>
      </c>
      <c r="DD232" s="24">
        <f t="shared" ca="1" si="218"/>
        <v>0.10302584834007106</v>
      </c>
      <c r="DE232" s="24">
        <f t="shared" ca="1" si="219"/>
        <v>0.18544652701212788</v>
      </c>
      <c r="DF232" s="24">
        <f t="shared" ca="1" si="220"/>
        <v>0.30907754502021317</v>
      </c>
      <c r="DG232" s="24">
        <f t="shared" ca="1" si="221"/>
        <v>0.46361631753031973</v>
      </c>
      <c r="DI232" s="19" cm="1">
        <f t="array" aca="1" ref="DI232" ca="1">MAX(_xlfn._xlws.FILTER(CT232:DG232,CT232:DG232&lt;BP232))</f>
        <v>-1.4265117462471376E-2</v>
      </c>
      <c r="DJ232" s="19" cm="1">
        <f t="array" aca="1" ref="DJ232" ca="1">MIN(_xlfn._xlws.FILTER(CT232:DG232,CT232:DG232&gt;BP232))</f>
        <v>1.4265117462471376E-2</v>
      </c>
      <c r="DK232" s="2" cm="1">
        <f t="array" aca="1" ref="DK232" ca="1">_FV(EH232,"Fechamento anterior",TRUE)</f>
        <v>20.46</v>
      </c>
      <c r="DL232" s="36">
        <f ca="1">(BJ232-DM232)/(DN232-DM232)</f>
        <v>0.56852499526351563</v>
      </c>
      <c r="DM232" s="18">
        <f t="shared" ca="1" si="222"/>
        <v>20.168135696717837</v>
      </c>
      <c r="DN232" s="18">
        <f t="shared" ca="1" si="223"/>
        <v>20.751864303282165</v>
      </c>
      <c r="DO232" s="9"/>
      <c r="DP232" s="9"/>
      <c r="DQ232" s="94">
        <v>0.24022582921665406</v>
      </c>
      <c r="DR232" s="94">
        <v>0.24022582921665406</v>
      </c>
      <c r="DS232" s="94">
        <v>0.36153846153846125</v>
      </c>
      <c r="DT232" s="94">
        <f t="shared" ca="1" si="200"/>
        <v>2.8530234924942752E-2</v>
      </c>
      <c r="DU232" s="87">
        <f ca="1">(BJ232-CF232)/(CF232-CE232)</f>
        <v>-0.53467062709214275</v>
      </c>
      <c r="DV232" s="46"/>
      <c r="DW232" s="43">
        <f>_xlfn.STDEV.P(BF232:BI232)</f>
        <v>10.511144086159222</v>
      </c>
      <c r="DX232" s="76">
        <f ca="1">BO232-$DT$2</f>
        <v>0.83349999999999991</v>
      </c>
      <c r="DY232" s="76">
        <f ca="1">BO232-BP232*100</f>
        <v>1.6351</v>
      </c>
      <c r="DZ232" s="101"/>
      <c r="EA232" s="100">
        <v>0.38767000000000018</v>
      </c>
      <c r="EB232" s="107">
        <v>6.9751999999999992</v>
      </c>
      <c r="EC232" s="107">
        <v>0.22979999999999978</v>
      </c>
      <c r="ED232" s="98">
        <f t="shared" ca="1" si="196"/>
        <v>-0.80160000000000009</v>
      </c>
      <c r="EE232" s="66"/>
      <c r="EF232" s="66"/>
      <c r="EH232" s="2" t="e" vm="234">
        <v>#VALUE!</v>
      </c>
      <c r="EJ232" s="10" cm="1">
        <f t="array" aca="1" ref="EJ232" ca="1">_FV(EH232,"Ações em circulação",TRUE)</f>
        <v>6728780</v>
      </c>
      <c r="EK232" s="21">
        <f>VLOOKUP(BK232,Fundamentus!A:U,5,FALSE)</f>
        <v>0.16900000000000001</v>
      </c>
      <c r="EL232" s="2">
        <f ca="1">(BJ232*EJ232)/EK232</f>
        <v>816212958.57988155</v>
      </c>
      <c r="EM232" s="20">
        <v>-32584813.917159762</v>
      </c>
      <c r="EN232" s="20">
        <f t="shared" ca="1" si="201"/>
        <v>-32648518.343195263</v>
      </c>
      <c r="EP232" s="19">
        <f t="shared" ca="1" si="197"/>
        <v>1.9550342130987275E-3</v>
      </c>
      <c r="EQ232" s="40" t="str">
        <f>IF(VLOOKUP(BK232,Fundamentus!A:U,3,FALSE)&lt;15,"Bom",IF(VLOOKUP(BK232,Fundamentus!A:U,3,FALSE)&gt;15,"Ruim","n/a"))</f>
        <v>Bom</v>
      </c>
      <c r="ER232" s="36" t="str">
        <f>IF(VLOOKUP(BK232,Fundamentus!A:U,4,FALSE)&lt;1,"Baixo",IF(VLOOKUP(BK232,Fundamentus!A:U,4,FALSE)&lt;1.5,"Moderado",IF(VLOOKUP(BK232,Fundamentus!A:U,4,FALSE)&gt;1.5,"Alto","n/a")))</f>
        <v>Baixo</v>
      </c>
      <c r="ES232" s="20" t="str">
        <f>IF(VLOOKUP(BK232,Fundamentus!A:U,8,FALSE)&lt;0,"Risco elevado",IF(VLOOKUP(BK232,Fundamentus!A:U,8,FALSE)&lt;1,"Saudável",IF(VLOOKUP(BK232,Fundamentus!A:U,8,FALSE)&lt;3,"Estável",IF(VLOOKUP(BK232,Fundamentus!A:U,8,FALSE)&gt;3,"Alerta","n/a"))))</f>
        <v>Saudável</v>
      </c>
      <c r="ET232" s="36" t="str">
        <f t="shared" si="202"/>
        <v>Ruim</v>
      </c>
      <c r="EU232" s="20" t="str">
        <f>IF(VLOOKUP(BK232,Fundamentus!A:U,12,FALSE)&lt;2,"Subvalorizada",IF(VLOOKUP(BK232,Fundamentus!A:U,12,FALSE)&lt;6,"Muita barata",IF(VLOOKUP(BK232,Fundamentus!A:U,12,FALSE)&lt;6,"Barata",IF(VLOOKUP(BK232,Fundamentus!A:U,12,FALSE)&lt;8,"Atrativa",IF(VLOOKUP(BK232,Fundamentus!A:U,12,FALSE)&gt;8,"Supervalorizada","n/a")))))</f>
        <v>Subvalorizada</v>
      </c>
      <c r="EW232" s="20" t="str">
        <f>IF(VLOOKUP(BK232,Fundamentus!A:U,17,FALSE)&lt;0.1,"Fraco retorno",IF(VLOOKUP(BK232,Fundamentus!A:U,17,FALSE)&gt;0.1,"Bom retorno","n/a"))</f>
        <v>Fraco retorno</v>
      </c>
      <c r="EX232" s="20" t="str">
        <f>IF(VLOOKUP(BK232,Fundamentus!A:U,16,FALSE)&lt;0.1,"Ineficiente",IF(VLOOKUP(BK232,Fundamentus!A:U,16,FALSE)&gt;0.1,"Eficiente","n/a"))</f>
        <v>Ineficiente</v>
      </c>
      <c r="EY232" s="41" t="str">
        <f>IF(VLOOKUP(BK232,Fundamentus!A:U,16,FALSE)&lt;0.1,"Oper. Ineficiente",IF(VLOOKUP(BK232,Fundamentus!A:U,16,FALSE)&gt;0.1,"Oper.Eficiente","n/a"))</f>
        <v>Oper. Ineficiente</v>
      </c>
      <c r="EZ232" s="42">
        <f>VLOOKUP(BK232,Fundamentus!A:U,14,FALSE)</f>
        <v>-0.04</v>
      </c>
      <c r="FA232" s="20" t="str">
        <f>IF(VLOOKUP(BK232,Fundamentus!A:U,21,FALSE)&lt;0,"Negativo",IF(VLOOKUP(BK232,Fundamentus!A:U,21,FALSE)&lt;0.05,"Fraco",IF(VLOOKUP(BK232,Fundamentus!A:U,21,FALSE)&lt;0.1,"Bom",IF(VLOOKUP(BK232,Fundamentus!A:U,21,FALSE)&gt;0.1,"Muito bom","n/a"))))</f>
        <v>Fraco</v>
      </c>
      <c r="FC232" s="37" t="str">
        <f>IF(VLOOKUP(BK232,Fundamentus!A:U,15,FALSE)&gt;1,"Bom",IF(VLOOKUP(BK232,Fundamentus!A:U,15,FALSE)&lt;1,"Ruim","n/a"))</f>
        <v>Bom</v>
      </c>
      <c r="FD232" s="20" t="str">
        <f>IF(VLOOKUP(BK232,Fundamentus!A:U,20,FALSE)&lt;0.5,"Baixa",IF(VLOOKUP(BK232,Fundamentus!A:U,20,FALSE)&lt;1,"Moderada",IF(VLOOKUP(BK232,Fundamentus!A:U,20,FALSE)&lt;2,"Alerta",IF(VLOOKUP(BK232,Fundamentus!A:U,20,FALSE)&gt;2,"Alta","n/a"))))</f>
        <v>Moderada</v>
      </c>
    </row>
    <row r="233" spans="1:160" s="2" customFormat="1" ht="11.25" hidden="1"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8">
        <v>22.8</v>
      </c>
      <c r="BC233" s="62">
        <v>24.69</v>
      </c>
      <c r="BD233" s="62">
        <v>24.45</v>
      </c>
      <c r="BE233" s="62">
        <v>25.4</v>
      </c>
      <c r="BF233" s="62">
        <v>25.99</v>
      </c>
      <c r="BG233" s="81">
        <v>27.8</v>
      </c>
      <c r="BH233" s="62">
        <v>27.47</v>
      </c>
      <c r="BI233" s="62">
        <v>26.85</v>
      </c>
      <c r="BJ233" s="62" cm="1">
        <f t="array" aca="1" ref="BJ233" ca="1">_FV(EH233,"Preço")</f>
        <v>27.3</v>
      </c>
      <c r="BK233" s="83" t="s">
        <v>229</v>
      </c>
      <c r="BL233" s="44" cm="1">
        <f t="array" aca="1" ref="BL233" ca="1">_FV(EH233,"Média de volume",TRUE)</f>
        <v>4024000</v>
      </c>
      <c r="BM233" s="44">
        <v>1458300</v>
      </c>
      <c r="BN233" s="44" cm="1">
        <f t="array" aca="1" ref="BN233" ca="1">_FV(EH233,"Volume")</f>
        <v>551400</v>
      </c>
      <c r="BO233" s="32" cm="1">
        <f t="array" aca="1" ref="BO233" ca="1">_FV(EH233,"Beta")</f>
        <v>1.1173999999999999</v>
      </c>
      <c r="BP233" s="86" cm="1">
        <f t="array" aca="1" ref="BP233" ca="1">_FV(EH233,"Variação (%)",TRUE)</f>
        <v>1.6760000000000001E-2</v>
      </c>
      <c r="BQ233" s="48"/>
      <c r="BR233" s="48"/>
      <c r="BT233" s="20" cm="1">
        <f t="array" aca="1" ref="BT233" ca="1">_FV(EH233,"Baixo")</f>
        <v>26.64</v>
      </c>
      <c r="BU233" s="20" cm="1">
        <f t="array" aca="1" ref="BU233" ca="1">_FV(EH233,"Alto")</f>
        <v>27.31</v>
      </c>
      <c r="BV233" s="32"/>
      <c r="BW233" s="73">
        <f ca="1">SQRT(22.5*(BJ233/VLOOKUP(BK233,Fundamentus!A:U,3,FALSE))*(BJ233/VLOOKUP(BK233,Fundamentus!A:U,4,FALSE)))</f>
        <v>22.660999543743507</v>
      </c>
      <c r="BY233" s="72">
        <f t="shared" ca="1" si="198"/>
        <v>1.6759776536312821E-2</v>
      </c>
      <c r="BZ233" s="8"/>
      <c r="CA233" s="71">
        <f t="shared" si="205"/>
        <v>17.82</v>
      </c>
      <c r="CB233" s="71">
        <f t="shared" si="199"/>
        <v>31.2</v>
      </c>
      <c r="CC233" s="71">
        <f t="shared" si="206"/>
        <v>24.330737704918025</v>
      </c>
      <c r="CD233" s="17"/>
      <c r="CE233" s="43">
        <f t="shared" si="203"/>
        <v>26.211422834948937</v>
      </c>
      <c r="CF233" s="18">
        <f>FORECAST("04/07/2025", BF233:BI233, $BF$5:$BI$5)</f>
        <v>27.589999999999918</v>
      </c>
      <c r="CG233" s="43">
        <f t="shared" si="204"/>
        <v>28.968577165050899</v>
      </c>
      <c r="CI233" s="17"/>
      <c r="CJ233" s="20">
        <f>CA233-2*(CB233-CM233)</f>
        <v>6.0000000000000071</v>
      </c>
      <c r="CK233" s="20">
        <f>CM233-(CB233-CA233)</f>
        <v>11.910000000000004</v>
      </c>
      <c r="CL233" s="20">
        <f>2*CM233-CB233</f>
        <v>19.380000000000006</v>
      </c>
      <c r="CM233" s="48">
        <f>(CB233+CA233+BI233)/3</f>
        <v>25.290000000000003</v>
      </c>
      <c r="CN233" s="20">
        <f>2*CM233-CA233</f>
        <v>32.760000000000005</v>
      </c>
      <c r="CO233" s="20">
        <f>CM233+(CB233-CA233)</f>
        <v>38.67</v>
      </c>
      <c r="CP233" s="20">
        <f>CB233+2*(CM233-CA233)</f>
        <v>46.14</v>
      </c>
      <c r="CQ233" s="2" cm="1">
        <f t="array" aca="1" ref="CQ233" ca="1">MAX(_xlfn._xlws.FILTER(CJ233:CP233,CJ233:CP233&lt;BJ233))</f>
        <v>25.290000000000003</v>
      </c>
      <c r="CR233" s="2" cm="1">
        <f t="array" aca="1" ref="CR233" ca="1">MIN(_xlfn._xlws.FILTER($CJ233:$CP233,$CJ233:$CP233&gt;BJ233))</f>
        <v>32.760000000000005</v>
      </c>
      <c r="CS233" s="19">
        <f t="shared" ca="1" si="207"/>
        <v>0.29537366548042709</v>
      </c>
      <c r="CT233" s="23">
        <f t="shared" ca="1" si="208"/>
        <v>-0.14768683274021355</v>
      </c>
      <c r="CU233" s="23">
        <f t="shared" ca="1" si="209"/>
        <v>-9.8457888493475698E-2</v>
      </c>
      <c r="CV233" s="23">
        <f t="shared" ca="1" si="210"/>
        <v>-5.9074733096085422E-2</v>
      </c>
      <c r="CW233" s="23">
        <f t="shared" ca="1" si="211"/>
        <v>-3.2819296164491897E-2</v>
      </c>
      <c r="CX233" s="23">
        <f t="shared" ca="1" si="212"/>
        <v>-1.7374921498848651E-2</v>
      </c>
      <c r="CY233" s="23">
        <f t="shared" ca="1" si="213"/>
        <v>-8.9507171357705185E-3</v>
      </c>
      <c r="CZ233" s="23">
        <f t="shared" ca="1" si="214"/>
        <v>-4.5442102381604167E-3</v>
      </c>
      <c r="DA233" s="24">
        <f t="shared" ca="1" si="215"/>
        <v>4.5442102381604167E-3</v>
      </c>
      <c r="DB233" s="24">
        <f t="shared" ca="1" si="216"/>
        <v>8.9507171357705185E-3</v>
      </c>
      <c r="DC233" s="24">
        <f t="shared" ca="1" si="217"/>
        <v>1.7374921498848651E-2</v>
      </c>
      <c r="DD233" s="24">
        <f t="shared" ca="1" si="218"/>
        <v>3.2819296164491897E-2</v>
      </c>
      <c r="DE233" s="24">
        <f t="shared" ca="1" si="219"/>
        <v>5.9074733096085422E-2</v>
      </c>
      <c r="DF233" s="24">
        <f t="shared" ca="1" si="220"/>
        <v>9.8457888493475698E-2</v>
      </c>
      <c r="DG233" s="24">
        <f t="shared" ca="1" si="221"/>
        <v>0.14768683274021355</v>
      </c>
      <c r="DI233" s="19" cm="1">
        <f t="array" aca="1" ref="DI233" ca="1">MAX(_xlfn._xlws.FILTER(CT233:DG233,CT233:DG233&lt;BP233))</f>
        <v>8.9507171357705185E-3</v>
      </c>
      <c r="DJ233" s="19" cm="1">
        <f t="array" aca="1" ref="DJ233" ca="1">MIN(_xlfn._xlws.FILTER(CT233:DG233,CT233:DG233&gt;BP233))</f>
        <v>1.7374921498848651E-2</v>
      </c>
      <c r="DK233" s="2" cm="1">
        <f t="array" aca="1" ref="DK233" ca="1">_FV(EH233,"Fechamento anterior",TRUE)</f>
        <v>26.85</v>
      </c>
      <c r="DL233" s="36">
        <f ca="1">(BJ233-DM233)/(DN233-DM233)</f>
        <v>0.92697886518138728</v>
      </c>
      <c r="DM233" s="18">
        <f t="shared" ca="1" si="222"/>
        <v>27.09032675509544</v>
      </c>
      <c r="DN233" s="18">
        <f t="shared" ca="1" si="223"/>
        <v>27.316516642244089</v>
      </c>
      <c r="DO233" s="9"/>
      <c r="DP233" s="9"/>
      <c r="DQ233" s="94">
        <v>6.7828723001136801E-3</v>
      </c>
      <c r="DR233" s="94">
        <v>1.1526449660323901E-2</v>
      </c>
      <c r="DS233" s="94">
        <v>8.6727266230153047E-3</v>
      </c>
      <c r="DT233" s="94">
        <f t="shared" ca="1" si="200"/>
        <v>8.4242043630781329E-3</v>
      </c>
      <c r="DU233" s="87">
        <f ca="1">(BJ233-CF233)/(CF233-CE233)</f>
        <v>-0.21036181894772138</v>
      </c>
      <c r="DV233" s="46"/>
      <c r="DW233" s="43">
        <f>_xlfn.STDEV.P(BF233:BI233)</f>
        <v>0.68928858252549108</v>
      </c>
      <c r="DX233" s="76">
        <f ca="1">BO233-$DT$2</f>
        <v>0.12029999999999985</v>
      </c>
      <c r="DY233" s="76">
        <f ca="1">BO233-BP233*100</f>
        <v>-0.55860000000000021</v>
      </c>
      <c r="DZ233" s="101"/>
      <c r="EA233" s="100">
        <v>-1.8484</v>
      </c>
      <c r="EB233" s="107">
        <v>5.4799999999999738E-2</v>
      </c>
      <c r="EC233" s="107">
        <v>-0.85119999999999973</v>
      </c>
      <c r="ED233" s="98">
        <f t="shared" ca="1" si="196"/>
        <v>0.67890000000000006</v>
      </c>
      <c r="EE233" s="66"/>
      <c r="EF233" s="66"/>
      <c r="EH233" s="2" t="e" vm="235">
        <v>#VALUE!</v>
      </c>
      <c r="EJ233" s="10" cm="1">
        <f t="array" aca="1" ref="EJ233" ca="1">_FV(EH233,"Ações em circulação",TRUE)</f>
        <v>633420800</v>
      </c>
      <c r="EK233" s="21">
        <f>VLOOKUP(BK233,Fundamentus!A:U,5,FALSE)</f>
        <v>2.63</v>
      </c>
      <c r="EL233" s="2">
        <f ca="1">(BJ233*EJ233)/EK233</f>
        <v>6575052410.6463881</v>
      </c>
      <c r="EM233" s="20">
        <v>773414022.13231945</v>
      </c>
      <c r="EN233" s="20">
        <f t="shared" ca="1" si="201"/>
        <v>786376268.313308</v>
      </c>
      <c r="EP233" s="19">
        <f t="shared" ca="1" si="197"/>
        <v>1.6759776536312776E-2</v>
      </c>
      <c r="EQ233" s="40" t="str">
        <f>IF(VLOOKUP(BK233,Fundamentus!A:U,3,FALSE)&lt;15,"Bom",IF(VLOOKUP(BK233,Fundamentus!A:U,3,FALSE)&gt;15,"Ruim","n/a"))</f>
        <v>Ruim</v>
      </c>
      <c r="ER233" s="36" t="str">
        <f>IF(VLOOKUP(BK233,Fundamentus!A:U,4,FALSE)&lt;1,"Baixo",IF(VLOOKUP(BK233,Fundamentus!A:U,4,FALSE)&lt;1.5,"Moderado",IF(VLOOKUP(BK233,Fundamentus!A:U,4,FALSE)&gt;1.5,"Alto","n/a")))</f>
        <v>n/a</v>
      </c>
      <c r="ES233" s="20" t="str">
        <f>IF(VLOOKUP(BK233,Fundamentus!A:U,8,FALSE)&lt;0,"Risco elevado",IF(VLOOKUP(BK233,Fundamentus!A:U,8,FALSE)&lt;1,"Saudável",IF(VLOOKUP(BK233,Fundamentus!A:U,8,FALSE)&lt;3,"Estável",IF(VLOOKUP(BK233,Fundamentus!A:U,8,FALSE)&gt;3,"Alerta","n/a"))))</f>
        <v>Alerta</v>
      </c>
      <c r="ET233" s="36" t="str">
        <f t="shared" si="202"/>
        <v>Bom</v>
      </c>
      <c r="EU233" s="20" t="str">
        <f>IF(VLOOKUP(BK233,Fundamentus!A:U,12,FALSE)&lt;2,"Subvalorizada",IF(VLOOKUP(BK233,Fundamentus!A:U,12,FALSE)&lt;6,"Muita barata",IF(VLOOKUP(BK233,Fundamentus!A:U,12,FALSE)&lt;6,"Barata",IF(VLOOKUP(BK233,Fundamentus!A:U,12,FALSE)&lt;8,"Atrativa",IF(VLOOKUP(BK233,Fundamentus!A:U,12,FALSE)&gt;8,"Supervalorizada","n/a")))))</f>
        <v>Supervalorizada</v>
      </c>
      <c r="EW233" s="20" t="str">
        <f>IF(VLOOKUP(BK233,Fundamentus!A:U,17,FALSE)&lt;0.1,"Fraco retorno",IF(VLOOKUP(BK233,Fundamentus!A:U,17,FALSE)&gt;0.1,"Bom retorno","n/a"))</f>
        <v>Fraco retorno</v>
      </c>
      <c r="EX233" s="20" t="str">
        <f>IF(VLOOKUP(BK233,Fundamentus!A:U,16,FALSE)&lt;0.1,"Ineficiente",IF(VLOOKUP(BK233,Fundamentus!A:U,16,FALSE)&gt;0.1,"Eficiente","n/a"))</f>
        <v>Ineficiente</v>
      </c>
      <c r="EY233" s="41" t="str">
        <f>IF(VLOOKUP(BK233,Fundamentus!A:U,16,FALSE)&lt;0.1,"Oper. Ineficiente",IF(VLOOKUP(BK233,Fundamentus!A:U,16,FALSE)&gt;0.1,"Oper.Eficiente","n/a"))</f>
        <v>Oper. Ineficiente</v>
      </c>
      <c r="EZ233" s="42">
        <f>VLOOKUP(BK233,Fundamentus!A:U,14,FALSE)</f>
        <v>0.1196</v>
      </c>
      <c r="FA233" s="20" t="str">
        <f>IF(VLOOKUP(BK233,Fundamentus!A:U,21,FALSE)&lt;0,"Negativo",IF(VLOOKUP(BK233,Fundamentus!A:U,21,FALSE)&lt;0.05,"Fraco",IF(VLOOKUP(BK233,Fundamentus!A:U,21,FALSE)&lt;0.1,"Bom",IF(VLOOKUP(BK233,Fundamentus!A:U,21,FALSE)&gt;0.1,"Muito bom","n/a"))))</f>
        <v>Muito bom</v>
      </c>
      <c r="FC233" s="37" t="str">
        <f>IF(VLOOKUP(BK233,Fundamentus!A:U,15,FALSE)&gt;1,"Bom",IF(VLOOKUP(BK233,Fundamentus!A:U,15,FALSE)&lt;1,"Ruim","n/a"))</f>
        <v>Bom</v>
      </c>
      <c r="FD233" s="20" t="str">
        <f>IF(VLOOKUP(BK233,Fundamentus!A:U,20,FALSE)&lt;0.5,"Baixa",IF(VLOOKUP(BK233,Fundamentus!A:U,20,FALSE)&lt;1,"Moderada",IF(VLOOKUP(BK233,Fundamentus!A:U,20,FALSE)&lt;2,"Alerta",IF(VLOOKUP(BK233,Fundamentus!A:U,20,FALSE)&gt;2,"Alta","n/a"))))</f>
        <v>Moderada</v>
      </c>
    </row>
    <row r="234" spans="1:160" s="2" customFormat="1" ht="11.25" hidden="1"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8">
        <v>1.21</v>
      </c>
      <c r="BC234" s="62">
        <v>1.08</v>
      </c>
      <c r="BD234" s="62">
        <v>1.18</v>
      </c>
      <c r="BE234" s="62">
        <v>1.19</v>
      </c>
      <c r="BF234" s="62">
        <v>1.25</v>
      </c>
      <c r="BG234" s="81">
        <v>1.2</v>
      </c>
      <c r="BH234" s="62">
        <v>1.1499999999999999</v>
      </c>
      <c r="BI234" s="62">
        <v>1.17</v>
      </c>
      <c r="BJ234" s="62" cm="1">
        <f t="array" aca="1" ref="BJ234" ca="1">_FV(EH234,"Preço")</f>
        <v>1.2</v>
      </c>
      <c r="BK234" s="83" t="s">
        <v>230</v>
      </c>
      <c r="BL234" s="44" cm="1">
        <f t="array" aca="1" ref="BL234" ca="1">_FV(EH234,"Média de volume",TRUE)</f>
        <v>819800</v>
      </c>
      <c r="BM234" s="44">
        <v>605800</v>
      </c>
      <c r="BN234" s="44" cm="1">
        <f t="array" aca="1" ref="BN234" ca="1">_FV(EH234,"Volume")</f>
        <v>497200</v>
      </c>
      <c r="BO234" s="32" cm="1">
        <f t="array" aca="1" ref="BO234" ca="1">_FV(EH234,"Beta")</f>
        <v>1.782</v>
      </c>
      <c r="BP234" s="86" cm="1">
        <f t="array" aca="1" ref="BP234" ca="1">_FV(EH234,"Variação (%)",TRUE)</f>
        <v>2.5640999999999997E-2</v>
      </c>
      <c r="BQ234" s="48"/>
      <c r="BR234" s="48"/>
      <c r="BT234" s="20" cm="1">
        <f t="array" aca="1" ref="BT234" ca="1">_FV(EH234,"Baixo")</f>
        <v>1.1599999999999999</v>
      </c>
      <c r="BU234" s="20" cm="1">
        <f t="array" aca="1" ref="BU234" ca="1">_FV(EH234,"Alto")</f>
        <v>1.22</v>
      </c>
      <c r="BV234" s="32"/>
      <c r="BW234" s="73" t="e">
        <f ca="1">SQRT(22.5*(BJ234/VLOOKUP(BK234,Fundamentus!A:U,3,FALSE))*(BJ234/VLOOKUP(BK234,Fundamentus!A:U,4,FALSE)))</f>
        <v>#NUM!</v>
      </c>
      <c r="BY234" s="72">
        <f t="shared" ca="1" si="198"/>
        <v>2.5641025641025664E-2</v>
      </c>
      <c r="BZ234" s="8"/>
      <c r="CA234" s="71">
        <f t="shared" si="205"/>
        <v>1.02</v>
      </c>
      <c r="CB234" s="71">
        <f t="shared" si="199"/>
        <v>2.75</v>
      </c>
      <c r="CC234" s="71">
        <f t="shared" si="206"/>
        <v>1.4818032786885249</v>
      </c>
      <c r="CD234" s="17"/>
      <c r="CE234" s="43">
        <f t="shared" si="203"/>
        <v>1.0446674041333792</v>
      </c>
      <c r="CF234" s="18">
        <f>FORECAST("04/07/2025", BF234:BI234, $BF$5:$BI$5)</f>
        <v>1.1199999999999761</v>
      </c>
      <c r="CG234" s="43">
        <f t="shared" si="204"/>
        <v>1.195332595866573</v>
      </c>
      <c r="CI234" s="17"/>
      <c r="CJ234" s="20">
        <f>CA234-2*(CB234-CM234)</f>
        <v>-1.186666666666667</v>
      </c>
      <c r="CK234" s="20">
        <f>CM234-(CB234-CA234)</f>
        <v>-8.3333333333333481E-2</v>
      </c>
      <c r="CL234" s="20">
        <f>2*CM234-CB234</f>
        <v>0.543333333333333</v>
      </c>
      <c r="CM234" s="48">
        <f>(CB234+CA234+BI234)/3</f>
        <v>1.6466666666666665</v>
      </c>
      <c r="CN234" s="20">
        <f>2*CM234-CA234</f>
        <v>2.273333333333333</v>
      </c>
      <c r="CO234" s="20">
        <f>CM234+(CB234-CA234)</f>
        <v>3.3766666666666665</v>
      </c>
      <c r="CP234" s="20">
        <f>CB234+2*(CM234-CA234)</f>
        <v>4.003333333333333</v>
      </c>
      <c r="CQ234" s="2" cm="1">
        <f t="array" aca="1" ref="CQ234" ca="1">MAX(_xlfn._xlws.FILTER(CJ234:CP234,CJ234:CP234&lt;BJ234))</f>
        <v>0.543333333333333</v>
      </c>
      <c r="CR234" s="2" cm="1">
        <f t="array" aca="1" ref="CR234" ca="1">MIN(_xlfn._xlws.FILTER($CJ234:$CP234,$CJ234:$CP234&gt;BJ234))</f>
        <v>1.6466666666666665</v>
      </c>
      <c r="CS234" s="19">
        <f t="shared" ca="1" si="207"/>
        <v>2.0306748466257685</v>
      </c>
      <c r="CT234" s="23">
        <f t="shared" ca="1" si="208"/>
        <v>-1.0153374233128842</v>
      </c>
      <c r="CU234" s="23">
        <f t="shared" ca="1" si="209"/>
        <v>-0.67689161554192279</v>
      </c>
      <c r="CV234" s="23">
        <f t="shared" ca="1" si="210"/>
        <v>-0.40613496932515369</v>
      </c>
      <c r="CW234" s="23">
        <f t="shared" ca="1" si="211"/>
        <v>-0.22563053851397427</v>
      </c>
      <c r="CX234" s="23">
        <f t="shared" ca="1" si="212"/>
        <v>-0.11945146156622168</v>
      </c>
      <c r="CY234" s="23">
        <f t="shared" ca="1" si="213"/>
        <v>-6.1535601412902076E-2</v>
      </c>
      <c r="CZ234" s="23">
        <f t="shared" ca="1" si="214"/>
        <v>-3.1241151486550284E-2</v>
      </c>
      <c r="DA234" s="24">
        <f t="shared" ca="1" si="215"/>
        <v>3.1241151486550284E-2</v>
      </c>
      <c r="DB234" s="24">
        <f t="shared" ca="1" si="216"/>
        <v>6.1535601412902076E-2</v>
      </c>
      <c r="DC234" s="24">
        <f t="shared" ca="1" si="217"/>
        <v>0.11945146156622168</v>
      </c>
      <c r="DD234" s="24">
        <f t="shared" ca="1" si="218"/>
        <v>0.22563053851397427</v>
      </c>
      <c r="DE234" s="24">
        <f t="shared" ca="1" si="219"/>
        <v>0.40613496932515369</v>
      </c>
      <c r="DF234" s="24">
        <f t="shared" ca="1" si="220"/>
        <v>0.67689161554192279</v>
      </c>
      <c r="DG234" s="24">
        <f t="shared" ca="1" si="221"/>
        <v>1.0153374233128842</v>
      </c>
      <c r="DI234" s="19" cm="1">
        <f t="array" aca="1" ref="DI234" ca="1">MAX(_xlfn._xlws.FILTER(CT234:DG234,CT234:DG234&lt;BP234))</f>
        <v>-3.1241151486550284E-2</v>
      </c>
      <c r="DJ234" s="19" cm="1">
        <f t="array" aca="1" ref="DJ234" ca="1">MIN(_xlfn._xlws.FILTER(CT234:DG234,CT234:DG234&gt;BP234))</f>
        <v>3.1241151486550284E-2</v>
      </c>
      <c r="DK234" s="2" cm="1">
        <f t="array" aca="1" ref="DK234" ca="1">_FV(EH234,"Fechamento anterior",TRUE)</f>
        <v>1.17</v>
      </c>
      <c r="DL234" s="36">
        <f ca="1">(BJ234-DM234)/(DN234-DM234)</f>
        <v>0.91037260825780497</v>
      </c>
      <c r="DM234" s="18">
        <f t="shared" ca="1" si="222"/>
        <v>1.1334478527607361</v>
      </c>
      <c r="DN234" s="18">
        <f t="shared" ca="1" si="223"/>
        <v>1.2065521472392637</v>
      </c>
      <c r="DO234" s="9"/>
      <c r="DP234" s="9"/>
      <c r="DQ234" s="94">
        <v>9.2597968069666151E-2</v>
      </c>
      <c r="DR234" s="94">
        <v>9.2597968069666151E-2</v>
      </c>
      <c r="DS234" s="94">
        <v>2.8954083391953236E-2</v>
      </c>
      <c r="DT234" s="94">
        <f t="shared" ca="1" si="200"/>
        <v>6.2482302973100569E-2</v>
      </c>
      <c r="DU234" s="87">
        <f ca="1">(BJ234-CF234)/(CF234-CE234)</f>
        <v>1.0619572985602701</v>
      </c>
      <c r="DV234" s="46"/>
      <c r="DW234" s="43">
        <f>_xlfn.STDEV.P(BF234:BI234)</f>
        <v>3.766629793329844E-2</v>
      </c>
      <c r="DX234" s="76">
        <f ca="1">BO234-$DT$2</f>
        <v>0.78489999999999993</v>
      </c>
      <c r="DY234" s="76">
        <f ca="1">BO234-BP234*100</f>
        <v>-0.7820999999999998</v>
      </c>
      <c r="DZ234" s="101"/>
      <c r="EA234" s="100">
        <v>-3.7336000000000005</v>
      </c>
      <c r="EB234" s="107">
        <v>-2.1193999999999993</v>
      </c>
      <c r="EC234" s="107">
        <v>1.0430000000000001</v>
      </c>
      <c r="ED234" s="98">
        <f t="shared" ca="1" si="196"/>
        <v>1.5669999999999997</v>
      </c>
      <c r="EE234" s="66"/>
      <c r="EF234" s="66"/>
      <c r="EH234" s="2" t="e" vm="236">
        <v>#VALUE!</v>
      </c>
      <c r="EJ234" s="10" cm="1">
        <f t="array" aca="1" ref="EJ234" ca="1">_FV(EH234,"Ações em circulação",TRUE)</f>
        <v>205018000</v>
      </c>
      <c r="EK234" s="21">
        <f>VLOOKUP(BK234,Fundamentus!A:U,5,FALSE)</f>
        <v>0.93100000000000005</v>
      </c>
      <c r="EL234" s="2">
        <f ca="1">(BJ234*EJ234)/EK234</f>
        <v>264255209.45220193</v>
      </c>
      <c r="EM234" s="20">
        <v>-20302727.742212672</v>
      </c>
      <c r="EN234" s="20">
        <f t="shared" ca="1" si="201"/>
        <v>-20823310.504833512</v>
      </c>
      <c r="EP234" s="19">
        <f t="shared" ca="1" si="197"/>
        <v>2.5641025641025772E-2</v>
      </c>
      <c r="EQ234" s="40" t="str">
        <f>IF(VLOOKUP(BK234,Fundamentus!A:U,3,FALSE)&lt;15,"Bom",IF(VLOOKUP(BK234,Fundamentus!A:U,3,FALSE)&gt;15,"Ruim","n/a"))</f>
        <v>Bom</v>
      </c>
      <c r="ER234" s="36" t="str">
        <f>IF(VLOOKUP(BK234,Fundamentus!A:U,4,FALSE)&lt;1,"Baixo",IF(VLOOKUP(BK234,Fundamentus!A:U,4,FALSE)&lt;1.5,"Moderado",IF(VLOOKUP(BK234,Fundamentus!A:U,4,FALSE)&gt;1.5,"Alto","n/a")))</f>
        <v>Baixo</v>
      </c>
      <c r="ES234" s="20" t="str">
        <f>IF(VLOOKUP(BK234,Fundamentus!A:U,8,FALSE)&lt;0,"Risco elevado",IF(VLOOKUP(BK234,Fundamentus!A:U,8,FALSE)&lt;1,"Saudável",IF(VLOOKUP(BK234,Fundamentus!A:U,8,FALSE)&lt;3,"Estável",IF(VLOOKUP(BK234,Fundamentus!A:U,8,FALSE)&gt;3,"Alerta","n/a"))))</f>
        <v>Estável</v>
      </c>
      <c r="ET234" s="36" t="str">
        <f t="shared" si="202"/>
        <v>Ruim</v>
      </c>
      <c r="EU234" s="20" t="str">
        <f>IF(VLOOKUP(BK234,Fundamentus!A:U,12,FALSE)&lt;2,"Subvalorizada",IF(VLOOKUP(BK234,Fundamentus!A:U,12,FALSE)&lt;6,"Muita barata",IF(VLOOKUP(BK234,Fundamentus!A:U,12,FALSE)&lt;6,"Barata",IF(VLOOKUP(BK234,Fundamentus!A:U,12,FALSE)&lt;8,"Atrativa",IF(VLOOKUP(BK234,Fundamentus!A:U,12,FALSE)&gt;8,"Supervalorizada","n/a")))))</f>
        <v>Supervalorizada</v>
      </c>
      <c r="EW234" s="20" t="str">
        <f>IF(VLOOKUP(BK234,Fundamentus!A:U,17,FALSE)&lt;0.1,"Fraco retorno",IF(VLOOKUP(BK234,Fundamentus!A:U,17,FALSE)&gt;0.1,"Bom retorno","n/a"))</f>
        <v>Fraco retorno</v>
      </c>
      <c r="EX234" s="20" t="str">
        <f>IF(VLOOKUP(BK234,Fundamentus!A:U,16,FALSE)&lt;0.1,"Ineficiente",IF(VLOOKUP(BK234,Fundamentus!A:U,16,FALSE)&gt;0.1,"Eficiente","n/a"))</f>
        <v>Ineficiente</v>
      </c>
      <c r="EY234" s="41" t="str">
        <f>IF(VLOOKUP(BK234,Fundamentus!A:U,16,FALSE)&lt;0.1,"Oper. Ineficiente",IF(VLOOKUP(BK234,Fundamentus!A:U,16,FALSE)&gt;0.1,"Oper.Eficiente","n/a"))</f>
        <v>Oper. Ineficiente</v>
      </c>
      <c r="EZ234" s="42">
        <f>VLOOKUP(BK234,Fundamentus!A:U,14,FALSE)</f>
        <v>-7.8799999999999995E-2</v>
      </c>
      <c r="FA234" s="20" t="str">
        <f>IF(VLOOKUP(BK234,Fundamentus!A:U,21,FALSE)&lt;0,"Negativo",IF(VLOOKUP(BK234,Fundamentus!A:U,21,FALSE)&lt;0.05,"Fraco",IF(VLOOKUP(BK234,Fundamentus!A:U,21,FALSE)&lt;0.1,"Bom",IF(VLOOKUP(BK234,Fundamentus!A:U,21,FALSE)&gt;0.1,"Muito bom","n/a"))))</f>
        <v>Muito bom</v>
      </c>
      <c r="FC234" s="37" t="str">
        <f>IF(VLOOKUP(BK234,Fundamentus!A:U,15,FALSE)&gt;1,"Bom",IF(VLOOKUP(BK234,Fundamentus!A:U,15,FALSE)&lt;1,"Ruim","n/a"))</f>
        <v>Bom</v>
      </c>
      <c r="FD234" s="20" t="str">
        <f>IF(VLOOKUP(BK234,Fundamentus!A:U,20,FALSE)&lt;0.5,"Baixa",IF(VLOOKUP(BK234,Fundamentus!A:U,20,FALSE)&lt;1,"Moderada",IF(VLOOKUP(BK234,Fundamentus!A:U,20,FALSE)&lt;2,"Alerta",IF(VLOOKUP(BK234,Fundamentus!A:U,20,FALSE)&gt;2,"Alta","n/a"))))</f>
        <v>Baixa</v>
      </c>
    </row>
    <row r="235" spans="1:160" s="2" customFormat="1" ht="11.25" hidden="1"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8">
        <v>1.82</v>
      </c>
      <c r="BC235" s="62">
        <v>1.7</v>
      </c>
      <c r="BD235" s="62">
        <v>2.14</v>
      </c>
      <c r="BE235" s="62">
        <v>1.94</v>
      </c>
      <c r="BF235" s="62">
        <v>1.98</v>
      </c>
      <c r="BG235" s="81">
        <v>1.83</v>
      </c>
      <c r="BH235" s="62">
        <v>1.72</v>
      </c>
      <c r="BI235" s="62">
        <v>1.63</v>
      </c>
      <c r="BJ235" s="62" cm="1">
        <f t="array" aca="1" ref="BJ235" ca="1">_FV(EH235,"Preço")</f>
        <v>1.63</v>
      </c>
      <c r="BK235" s="83" t="s">
        <v>231</v>
      </c>
      <c r="BL235" s="44" cm="1">
        <f t="array" aca="1" ref="BL235" ca="1">_FV(EH235,"Média de volume",TRUE)</f>
        <v>18387100</v>
      </c>
      <c r="BM235" s="44">
        <v>6385800</v>
      </c>
      <c r="BN235" s="44" cm="1">
        <f t="array" aca="1" ref="BN235" ca="1">_FV(EH235,"Volume")</f>
        <v>3881000</v>
      </c>
      <c r="BO235" s="32" cm="1">
        <f t="array" aca="1" ref="BO235" ca="1">_FV(EH235,"Beta")</f>
        <v>1.1729000000000001</v>
      </c>
      <c r="BP235" s="86" cm="1">
        <f t="array" aca="1" ref="BP235" ca="1">_FV(EH235,"Variação (%)",TRUE)</f>
        <v>0</v>
      </c>
      <c r="BQ235" s="48"/>
      <c r="BR235" s="48"/>
      <c r="BT235" s="20" cm="1">
        <f t="array" aca="1" ref="BT235" ca="1">_FV(EH235,"Baixo")</f>
        <v>1.62</v>
      </c>
      <c r="BU235" s="20" cm="1">
        <f t="array" aca="1" ref="BU235" ca="1">_FV(EH235,"Alto")</f>
        <v>1.65</v>
      </c>
      <c r="BV235" s="32"/>
      <c r="BW235" s="73" t="e">
        <f ca="1">SQRT(22.5*(BJ235/VLOOKUP(BK235,Fundamentus!A:U,3,FALSE))*(BJ235/VLOOKUP(BK235,Fundamentus!A:U,4,FALSE)))</f>
        <v>#NUM!</v>
      </c>
      <c r="BY235" s="72">
        <f t="shared" ca="1" si="198"/>
        <v>0</v>
      </c>
      <c r="BZ235" s="8"/>
      <c r="CA235" s="71">
        <f t="shared" si="205"/>
        <v>1.63</v>
      </c>
      <c r="CB235" s="71">
        <f t="shared" si="199"/>
        <v>3.3</v>
      </c>
      <c r="CC235" s="71">
        <f t="shared" si="206"/>
        <v>2.4407377049180323</v>
      </c>
      <c r="CD235" s="17"/>
      <c r="CE235" s="43">
        <f t="shared" si="203"/>
        <v>1.238848702855988</v>
      </c>
      <c r="CF235" s="18">
        <f>FORECAST("04/07/2025", BF235:BI235, $BF$5:$BI$5)</f>
        <v>1.5</v>
      </c>
      <c r="CG235" s="43">
        <f t="shared" si="204"/>
        <v>1.761151297144012</v>
      </c>
      <c r="CI235" s="17"/>
      <c r="CJ235" s="20">
        <f>CA235-2*(CB235-CM235)</f>
        <v>-0.59666666666666668</v>
      </c>
      <c r="CK235" s="20">
        <f>CM235-(CB235-CA235)</f>
        <v>0.51666666666666661</v>
      </c>
      <c r="CL235" s="20">
        <f>2*CM235-CB235</f>
        <v>1.0733333333333333</v>
      </c>
      <c r="CM235" s="48">
        <f>(CB235+CA235+BI235)/3</f>
        <v>2.1866666666666665</v>
      </c>
      <c r="CN235" s="20">
        <f>2*CM235-CA235</f>
        <v>2.7433333333333332</v>
      </c>
      <c r="CO235" s="20">
        <f>CM235+(CB235-CA235)</f>
        <v>3.8566666666666665</v>
      </c>
      <c r="CP235" s="20">
        <f>CB235+2*(CM235-CA235)</f>
        <v>4.4133333333333331</v>
      </c>
      <c r="CQ235" s="2" cm="1">
        <f t="array" aca="1" ref="CQ235" ca="1">MAX(_xlfn._xlws.FILTER(CJ235:CP235,CJ235:CP235&lt;BJ235))</f>
        <v>1.0733333333333333</v>
      </c>
      <c r="CR235" s="2" cm="1">
        <f t="array" aca="1" ref="CR235" ca="1">MIN(_xlfn._xlws.FILTER($CJ235:$CP235,$CJ235:$CP235&gt;BJ235))</f>
        <v>2.1866666666666665</v>
      </c>
      <c r="CS235" s="19">
        <f t="shared" ca="1" si="207"/>
        <v>1.0372670807453415</v>
      </c>
      <c r="CT235" s="23">
        <f t="shared" ca="1" si="208"/>
        <v>-0.51863354037267073</v>
      </c>
      <c r="CU235" s="23">
        <f t="shared" ca="1" si="209"/>
        <v>-0.34575569358178049</v>
      </c>
      <c r="CV235" s="23">
        <f t="shared" ca="1" si="210"/>
        <v>-0.20745341614906829</v>
      </c>
      <c r="CW235" s="23">
        <f t="shared" ca="1" si="211"/>
        <v>-0.11525189786059349</v>
      </c>
      <c r="CX235" s="23">
        <f t="shared" ca="1" si="212"/>
        <v>-6.1015710632078911E-2</v>
      </c>
      <c r="CY235" s="23">
        <f t="shared" ca="1" si="213"/>
        <v>-3.1432335780161864E-2</v>
      </c>
      <c r="CZ235" s="23">
        <f t="shared" ca="1" si="214"/>
        <v>-1.5957955088389868E-2</v>
      </c>
      <c r="DA235" s="24">
        <f t="shared" ca="1" si="215"/>
        <v>1.5957955088389868E-2</v>
      </c>
      <c r="DB235" s="24">
        <f t="shared" ca="1" si="216"/>
        <v>3.1432335780161864E-2</v>
      </c>
      <c r="DC235" s="24">
        <f t="shared" ca="1" si="217"/>
        <v>6.1015710632078911E-2</v>
      </c>
      <c r="DD235" s="24">
        <f t="shared" ca="1" si="218"/>
        <v>0.11525189786059349</v>
      </c>
      <c r="DE235" s="24">
        <f t="shared" ca="1" si="219"/>
        <v>0.20745341614906829</v>
      </c>
      <c r="DF235" s="24">
        <f t="shared" ca="1" si="220"/>
        <v>0.34575569358178049</v>
      </c>
      <c r="DG235" s="24">
        <f t="shared" ca="1" si="221"/>
        <v>0.51863354037267073</v>
      </c>
      <c r="DI235" s="19" cm="1">
        <f t="array" aca="1" ref="DI235" ca="1">MAX(_xlfn._xlws.FILTER(CT235:DG235,CT235:DG235&lt;BP235))</f>
        <v>-1.5957955088389868E-2</v>
      </c>
      <c r="DJ235" s="19" cm="1">
        <f t="array" aca="1" ref="DJ235" ca="1">MIN(_xlfn._xlws.FILTER(CT235:DG235,CT235:DG235&gt;BP235))</f>
        <v>1.5957955088389868E-2</v>
      </c>
      <c r="DK235" s="2" cm="1">
        <f t="array" aca="1" ref="DK235" ca="1">_FV(EH235,"Fechamento anterior",TRUE)</f>
        <v>1.63</v>
      </c>
      <c r="DL235" s="36">
        <f ca="1">(BJ235-DM235)/(DN235-DM235)</f>
        <v>0.5</v>
      </c>
      <c r="DM235" s="18">
        <f t="shared" ca="1" si="222"/>
        <v>1.6039885332059245</v>
      </c>
      <c r="DN235" s="18">
        <f t="shared" ca="1" si="223"/>
        <v>1.6560114667940753</v>
      </c>
      <c r="DO235" s="9"/>
      <c r="DP235" s="9"/>
      <c r="DQ235" s="94">
        <v>1.4918414918414918E-2</v>
      </c>
      <c r="DR235" s="94">
        <v>3.0769230769230771E-2</v>
      </c>
      <c r="DS235" s="94">
        <v>2.4312556617281798E-2</v>
      </c>
      <c r="DT235" s="94">
        <f t="shared" ca="1" si="200"/>
        <v>3.1915910176779735E-2</v>
      </c>
      <c r="DU235" s="87">
        <f ca="1">(BJ235-CF235)/(CF235-CE235)</f>
        <v>0.49779572769386377</v>
      </c>
      <c r="DV235" s="46"/>
      <c r="DW235" s="43">
        <f>_xlfn.STDEV.P(BF235:BI235)</f>
        <v>0.13057564857200599</v>
      </c>
      <c r="DX235" s="76">
        <f ca="1">BO235-$DT$2</f>
        <v>0.17579999999999996</v>
      </c>
      <c r="DY235" s="76">
        <f ca="1">BO235-BP235*100</f>
        <v>1.1729000000000001</v>
      </c>
      <c r="DZ235" s="101"/>
      <c r="EA235" s="100">
        <v>-2.3329000000000004</v>
      </c>
      <c r="EB235" s="107">
        <v>-5.7850999999999999</v>
      </c>
      <c r="EC235" s="107">
        <v>-1.0311999999999997</v>
      </c>
      <c r="ED235" s="98">
        <f t="shared" ca="1" si="196"/>
        <v>-0.9971000000000001</v>
      </c>
      <c r="EE235" s="66"/>
      <c r="EF235" s="66"/>
      <c r="EH235" s="2" t="e" vm="237">
        <v>#VALUE!</v>
      </c>
      <c r="EJ235" s="10" cm="1">
        <f t="array" aca="1" ref="EJ235" ca="1">_FV(EH235,"Ações em circulação",TRUE)</f>
        <v>1358937000</v>
      </c>
      <c r="EK235" s="21">
        <f>VLOOKUP(BK235,Fundamentus!A:U,5,FALSE)</f>
        <v>7.3999999999999996E-2</v>
      </c>
      <c r="EL235" s="2">
        <f ca="1">(BJ235*EJ235)/EK235</f>
        <v>29933342027.027027</v>
      </c>
      <c r="EM235" s="20">
        <v>-490906809.24324328</v>
      </c>
      <c r="EN235" s="20">
        <f t="shared" ca="1" si="201"/>
        <v>-490906809.24324328</v>
      </c>
      <c r="EP235" s="19">
        <f t="shared" ca="1" si="197"/>
        <v>0</v>
      </c>
      <c r="EQ235" s="40" t="str">
        <f>IF(VLOOKUP(BK235,Fundamentus!A:U,3,FALSE)&lt;15,"Bom",IF(VLOOKUP(BK235,Fundamentus!A:U,3,FALSE)&gt;15,"Ruim","n/a"))</f>
        <v>Bom</v>
      </c>
      <c r="ER235" s="36" t="str">
        <f>IF(VLOOKUP(BK235,Fundamentus!A:U,4,FALSE)&lt;1,"Baixo",IF(VLOOKUP(BK235,Fundamentus!A:U,4,FALSE)&lt;1.5,"Moderado",IF(VLOOKUP(BK235,Fundamentus!A:U,4,FALSE)&gt;1.5,"Alto","n/a")))</f>
        <v>Moderado</v>
      </c>
      <c r="ES235" s="20" t="str">
        <f>IF(VLOOKUP(BK235,Fundamentus!A:U,8,FALSE)&lt;0,"Risco elevado",IF(VLOOKUP(BK235,Fundamentus!A:U,8,FALSE)&lt;1,"Saudável",IF(VLOOKUP(BK235,Fundamentus!A:U,8,FALSE)&lt;3,"Estável",IF(VLOOKUP(BK235,Fundamentus!A:U,8,FALSE)&gt;3,"Alerta","n/a"))))</f>
        <v>Estável</v>
      </c>
      <c r="ET235" s="36" t="str">
        <f t="shared" si="202"/>
        <v>Ruim</v>
      </c>
      <c r="EU235" s="20" t="str">
        <f>IF(VLOOKUP(BK235,Fundamentus!A:U,12,FALSE)&lt;2,"Subvalorizada",IF(VLOOKUP(BK235,Fundamentus!A:U,12,FALSE)&lt;6,"Muita barata",IF(VLOOKUP(BK235,Fundamentus!A:U,12,FALSE)&lt;6,"Barata",IF(VLOOKUP(BK235,Fundamentus!A:U,12,FALSE)&lt;8,"Atrativa",IF(VLOOKUP(BK235,Fundamentus!A:U,12,FALSE)&gt;8,"Supervalorizada","n/a")))))</f>
        <v>Muita barata</v>
      </c>
      <c r="EW235" s="20" t="str">
        <f>IF(VLOOKUP(BK235,Fundamentus!A:U,17,FALSE)&lt;0.1,"Fraco retorno",IF(VLOOKUP(BK235,Fundamentus!A:U,17,FALSE)&gt;0.1,"Bom retorno","n/a"))</f>
        <v>Fraco retorno</v>
      </c>
      <c r="EX235" s="20" t="str">
        <f>IF(VLOOKUP(BK235,Fundamentus!A:U,16,FALSE)&lt;0.1,"Ineficiente",IF(VLOOKUP(BK235,Fundamentus!A:U,16,FALSE)&gt;0.1,"Eficiente","n/a"))</f>
        <v>Ineficiente</v>
      </c>
      <c r="EY235" s="41" t="str">
        <f>IF(VLOOKUP(BK235,Fundamentus!A:U,16,FALSE)&lt;0.1,"Oper. Ineficiente",IF(VLOOKUP(BK235,Fundamentus!A:U,16,FALSE)&gt;0.1,"Oper.Eficiente","n/a"))</f>
        <v>Oper. Ineficiente</v>
      </c>
      <c r="EZ235" s="42">
        <f>VLOOKUP(BK235,Fundamentus!A:U,14,FALSE)</f>
        <v>-1.6400000000000001E-2</v>
      </c>
      <c r="FA235" s="20" t="str">
        <f>IF(VLOOKUP(BK235,Fundamentus!A:U,21,FALSE)&lt;0,"Negativo",IF(VLOOKUP(BK235,Fundamentus!A:U,21,FALSE)&lt;0.05,"Fraco",IF(VLOOKUP(BK235,Fundamentus!A:U,21,FALSE)&lt;0.1,"Bom",IF(VLOOKUP(BK235,Fundamentus!A:U,21,FALSE)&gt;0.1,"Muito bom","n/a"))))</f>
        <v>Muito bom</v>
      </c>
      <c r="FC235" s="37" t="str">
        <f>IF(VLOOKUP(BK235,Fundamentus!A:U,15,FALSE)&gt;1,"Bom",IF(VLOOKUP(BK235,Fundamentus!A:U,15,FALSE)&lt;1,"Ruim","n/a"))</f>
        <v>Bom</v>
      </c>
      <c r="FD235" s="20" t="str">
        <f>IF(VLOOKUP(BK235,Fundamentus!A:U,20,FALSE)&lt;0.5,"Baixa",IF(VLOOKUP(BK235,Fundamentus!A:U,20,FALSE)&lt;1,"Moderada",IF(VLOOKUP(BK235,Fundamentus!A:U,20,FALSE)&lt;2,"Alerta",IF(VLOOKUP(BK235,Fundamentus!A:U,20,FALSE)&gt;2,"Alta","n/a"))))</f>
        <v>Alta</v>
      </c>
    </row>
    <row r="236" spans="1:160" s="2" customFormat="1" ht="11.25" hidden="1"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8">
        <v>29.41</v>
      </c>
      <c r="BC236" s="62">
        <v>29.4</v>
      </c>
      <c r="BD236" s="62">
        <v>24.42</v>
      </c>
      <c r="BE236" s="62">
        <v>23.42</v>
      </c>
      <c r="BF236" s="62">
        <v>21.71</v>
      </c>
      <c r="BG236" s="81">
        <v>21.59</v>
      </c>
      <c r="BH236" s="62">
        <v>21.35</v>
      </c>
      <c r="BI236" s="62">
        <v>21.73</v>
      </c>
      <c r="BJ236" s="62" cm="1">
        <f t="array" aca="1" ref="BJ236" ca="1">_FV(EH236,"Preço")</f>
        <v>21.86</v>
      </c>
      <c r="BK236" s="83" t="s">
        <v>232</v>
      </c>
      <c r="BL236" s="44" cm="1">
        <f t="array" aca="1" ref="BL236" ca="1">_FV(EH236,"Média de volume",TRUE)</f>
        <v>29694680</v>
      </c>
      <c r="BM236" s="44">
        <v>28100100</v>
      </c>
      <c r="BN236" s="44" cm="1">
        <f t="array" aca="1" ref="BN236" ca="1">_FV(EH236,"Volume")</f>
        <v>10071600</v>
      </c>
      <c r="BO236" s="32" cm="1">
        <f t="array" aca="1" ref="BO236" ca="1">_FV(EH236,"Beta")</f>
        <v>0.95679999999999998</v>
      </c>
      <c r="BP236" s="86" cm="1">
        <f t="array" aca="1" ref="BP236" ca="1">_FV(EH236,"Variação (%)",TRUE)</f>
        <v>5.9830000000000005E-3</v>
      </c>
      <c r="BQ236" s="48"/>
      <c r="BR236" s="48"/>
      <c r="BT236" s="20" cm="1">
        <f t="array" aca="1" ref="BT236" ca="1">_FV(EH236,"Baixo")</f>
        <v>21.55</v>
      </c>
      <c r="BU236" s="20" cm="1">
        <f t="array" aca="1" ref="BU236" ca="1">_FV(EH236,"Alto")</f>
        <v>21.91</v>
      </c>
      <c r="BV236" s="32"/>
      <c r="BW236" s="73">
        <f ca="1">SQRT(22.5*(BJ236/VLOOKUP(BK236,Fundamentus!A:U,3,FALSE))*(BJ236/VLOOKUP(BK236,Fundamentus!A:U,4,FALSE)))</f>
        <v>63.802951924178103</v>
      </c>
      <c r="BY236" s="72">
        <f t="shared" ca="1" si="198"/>
        <v>5.9825126553151864E-3</v>
      </c>
      <c r="BZ236" s="8"/>
      <c r="CA236" s="71">
        <f t="shared" si="205"/>
        <v>21.35</v>
      </c>
      <c r="CB236" s="71">
        <f t="shared" si="199"/>
        <v>29.41</v>
      </c>
      <c r="CC236" s="71">
        <f t="shared" si="206"/>
        <v>26.521557377049188</v>
      </c>
      <c r="CD236" s="17"/>
      <c r="CE236" s="43">
        <f t="shared" si="203"/>
        <v>21.247510330754913</v>
      </c>
      <c r="CF236" s="18">
        <f>FORECAST("04/07/2025", BF236:BI236, $BF$5:$BI$5)</f>
        <v>21.549999999999997</v>
      </c>
      <c r="CG236" s="43">
        <f t="shared" si="204"/>
        <v>21.852489669245081</v>
      </c>
      <c r="CI236" s="17"/>
      <c r="CJ236" s="20">
        <f>CA236-2*(CB236-CM236)</f>
        <v>10.856666666666676</v>
      </c>
      <c r="CK236" s="20">
        <f>CM236-(CB236-CA236)</f>
        <v>16.103333333333339</v>
      </c>
      <c r="CL236" s="20">
        <f>2*CM236-CB236</f>
        <v>18.916666666666675</v>
      </c>
      <c r="CM236" s="48">
        <f>(CB236+CA236+BI236)/3</f>
        <v>24.163333333333338</v>
      </c>
      <c r="CN236" s="20">
        <f>2*CM236-CA236</f>
        <v>26.976666666666674</v>
      </c>
      <c r="CO236" s="20">
        <f>CM236+(CB236-CA236)</f>
        <v>32.223333333333336</v>
      </c>
      <c r="CP236" s="20">
        <f>CB236+2*(CM236-CA236)</f>
        <v>35.036666666666676</v>
      </c>
      <c r="CQ236" s="2" cm="1">
        <f t="array" aca="1" ref="CQ236" ca="1">MAX(_xlfn._xlws.FILTER(CJ236:CP236,CJ236:CP236&lt;BJ236))</f>
        <v>18.916666666666675</v>
      </c>
      <c r="CR236" s="2" cm="1">
        <f t="array" aca="1" ref="CR236" ca="1">MIN(_xlfn._xlws.FILTER($CJ236:$CP236,$CJ236:$CP236&gt;BJ236))</f>
        <v>24.163333333333338</v>
      </c>
      <c r="CS236" s="19">
        <f t="shared" ca="1" si="207"/>
        <v>0.27735682819383234</v>
      </c>
      <c r="CT236" s="23">
        <f t="shared" ca="1" si="208"/>
        <v>-0.13867841409691617</v>
      </c>
      <c r="CU236" s="23">
        <f t="shared" ca="1" si="209"/>
        <v>-9.2452276064610775E-2</v>
      </c>
      <c r="CV236" s="23">
        <f t="shared" ca="1" si="210"/>
        <v>-5.5471365638766465E-2</v>
      </c>
      <c r="CW236" s="23">
        <f t="shared" ca="1" si="211"/>
        <v>-3.0817425354870261E-2</v>
      </c>
      <c r="CX236" s="23">
        <f t="shared" ca="1" si="212"/>
        <v>-1.6315107540813667E-2</v>
      </c>
      <c r="CY236" s="23">
        <f t="shared" ca="1" si="213"/>
        <v>-8.4047523695100716E-3</v>
      </c>
      <c r="CZ236" s="23">
        <f t="shared" ca="1" si="214"/>
        <v>-4.2670281260589592E-3</v>
      </c>
      <c r="DA236" s="24">
        <f t="shared" ca="1" si="215"/>
        <v>4.2670281260589592E-3</v>
      </c>
      <c r="DB236" s="24">
        <f t="shared" ca="1" si="216"/>
        <v>8.4047523695100716E-3</v>
      </c>
      <c r="DC236" s="24">
        <f t="shared" ca="1" si="217"/>
        <v>1.6315107540813667E-2</v>
      </c>
      <c r="DD236" s="24">
        <f t="shared" ca="1" si="218"/>
        <v>3.0817425354870261E-2</v>
      </c>
      <c r="DE236" s="24">
        <f t="shared" ca="1" si="219"/>
        <v>5.5471365638766465E-2</v>
      </c>
      <c r="DF236" s="24">
        <f t="shared" ca="1" si="220"/>
        <v>9.2452276064610775E-2</v>
      </c>
      <c r="DG236" s="24">
        <f t="shared" ca="1" si="221"/>
        <v>0.13867841409691617</v>
      </c>
      <c r="DI236" s="19" cm="1">
        <f t="array" aca="1" ref="DI236" ca="1">MAX(_xlfn._xlws.FILTER(CT236:DG236,CT236:DG236&lt;BP236))</f>
        <v>4.2670281260589592E-3</v>
      </c>
      <c r="DJ236" s="19" cm="1">
        <f t="array" aca="1" ref="DJ236" ca="1">MIN(_xlfn._xlws.FILTER(CT236:DG236,CT236:DG236&gt;BP236))</f>
        <v>8.4047523695100716E-3</v>
      </c>
      <c r="DK236" s="2" cm="1">
        <f t="array" aca="1" ref="DK236" ca="1">_FV(EH236,"Fechamento anterior",TRUE)</f>
        <v>21.73</v>
      </c>
      <c r="DL236" s="36">
        <f ca="1">(BJ236-DM236)/(DN236-DM236)</f>
        <v>0.41459614713845444</v>
      </c>
      <c r="DM236" s="18">
        <f t="shared" ca="1" si="222"/>
        <v>21.822722521179262</v>
      </c>
      <c r="DN236" s="18">
        <f t="shared" ca="1" si="223"/>
        <v>21.912635268989455</v>
      </c>
      <c r="DO236" s="9"/>
      <c r="DP236" s="9"/>
      <c r="DQ236" s="94">
        <v>8.9439284485724121E-3</v>
      </c>
      <c r="DR236" s="94">
        <v>1.3211353768629313E-2</v>
      </c>
      <c r="DS236" s="94">
        <v>4.0969975298333471E-3</v>
      </c>
      <c r="DT236" s="94">
        <f t="shared" ca="1" si="200"/>
        <v>4.1377242434511123E-3</v>
      </c>
      <c r="DU236" s="87">
        <f ca="1">(BJ236-CF236)/(CF236-CE236)</f>
        <v>1.0248283876063002</v>
      </c>
      <c r="DV236" s="46"/>
      <c r="DW236" s="43">
        <f>_xlfn.STDEV.P(BF236:BI236)</f>
        <v>0.1512448346225414</v>
      </c>
      <c r="DX236" s="76">
        <f ca="1">BO236-$DT$2</f>
        <v>-4.0300000000000114E-2</v>
      </c>
      <c r="DY236" s="76">
        <f ca="1">BO236-BP236*100</f>
        <v>0.35849999999999993</v>
      </c>
      <c r="DZ236" s="101"/>
      <c r="EA236" s="100">
        <v>-6.5299999999999914E-2</v>
      </c>
      <c r="EB236" s="107">
        <v>-1.2695000000000003</v>
      </c>
      <c r="EC236" s="107">
        <v>0.78279999999999994</v>
      </c>
      <c r="ED236" s="98">
        <f t="shared" ca="1" si="196"/>
        <v>-0.39880000000000004</v>
      </c>
      <c r="EE236" s="66"/>
      <c r="EF236" s="66"/>
      <c r="EH236" s="2" t="e" vm="238">
        <v>#VALUE!</v>
      </c>
      <c r="EJ236" s="10" cm="1">
        <f t="array" aca="1" ref="EJ236" ca="1">_FV(EH236,"Ações em circulação",TRUE)</f>
        <v>5730834000</v>
      </c>
      <c r="EK236" s="21">
        <f>VLOOKUP(BK236,Fundamentus!A:U,5,FALSE)</f>
        <v>0</v>
      </c>
      <c r="EL236" s="2" t="e">
        <f ca="1">(BJ236*EJ236)/EK236</f>
        <v>#DIV/0!</v>
      </c>
      <c r="EM236" s="20" t="e">
        <v>#DIV/0!</v>
      </c>
      <c r="EN236" s="20" t="e">
        <f t="shared" ca="1" si="201"/>
        <v>#DIV/0!</v>
      </c>
      <c r="EP236" s="19" t="e">
        <f t="shared" ca="1" si="197"/>
        <v>#DIV/0!</v>
      </c>
      <c r="EQ236" s="40" t="str">
        <f>IF(VLOOKUP(BK236,Fundamentus!A:U,3,FALSE)&lt;15,"Bom",IF(VLOOKUP(BK236,Fundamentus!A:U,3,FALSE)&gt;15,"Ruim","n/a"))</f>
        <v>Bom</v>
      </c>
      <c r="ER236" s="36" t="str">
        <f>IF(VLOOKUP(BK236,Fundamentus!A:U,4,FALSE)&lt;1,"Baixo",IF(VLOOKUP(BK236,Fundamentus!A:U,4,FALSE)&lt;1.5,"Moderado",IF(VLOOKUP(BK236,Fundamentus!A:U,4,FALSE)&gt;1.5,"Alto","n/a")))</f>
        <v>Baixo</v>
      </c>
      <c r="ES236" s="20" t="str">
        <f>IF(VLOOKUP(BK236,Fundamentus!A:U,8,FALSE)&lt;0,"Risco elevado",IF(VLOOKUP(BK236,Fundamentus!A:U,8,FALSE)&lt;1,"Saudável",IF(VLOOKUP(BK236,Fundamentus!A:U,8,FALSE)&lt;3,"Estável",IF(VLOOKUP(BK236,Fundamentus!A:U,8,FALSE)&gt;3,"Alerta","n/a"))))</f>
        <v>Saudável</v>
      </c>
      <c r="ET236" s="36" t="str">
        <f t="shared" si="202"/>
        <v>Ruim</v>
      </c>
      <c r="EU236" s="20" t="str">
        <f>IF(VLOOKUP(BK236,Fundamentus!A:U,12,FALSE)&lt;2,"Subvalorizada",IF(VLOOKUP(BK236,Fundamentus!A:U,12,FALSE)&lt;6,"Muita barata",IF(VLOOKUP(BK236,Fundamentus!A:U,12,FALSE)&lt;6,"Barata",IF(VLOOKUP(BK236,Fundamentus!A:U,12,FALSE)&lt;8,"Atrativa",IF(VLOOKUP(BK236,Fundamentus!A:U,12,FALSE)&gt;8,"Supervalorizada","n/a")))))</f>
        <v>Subvalorizada</v>
      </c>
      <c r="EW236" s="20" t="str">
        <f>IF(VLOOKUP(BK236,Fundamentus!A:U,17,FALSE)&lt;0.1,"Fraco retorno",IF(VLOOKUP(BK236,Fundamentus!A:U,17,FALSE)&gt;0.1,"Bom retorno","n/a"))</f>
        <v>Bom retorno</v>
      </c>
      <c r="EX236" s="20" t="str">
        <f>IF(VLOOKUP(BK236,Fundamentus!A:U,16,FALSE)&lt;0.1,"Ineficiente",IF(VLOOKUP(BK236,Fundamentus!A:U,16,FALSE)&gt;0.1,"Eficiente","n/a"))</f>
        <v>Ineficiente</v>
      </c>
      <c r="EY236" s="41" t="str">
        <f>IF(VLOOKUP(BK236,Fundamentus!A:U,16,FALSE)&lt;0.1,"Oper. Ineficiente",IF(VLOOKUP(BK236,Fundamentus!A:U,16,FALSE)&gt;0.1,"Oper.Eficiente","n/a"))</f>
        <v>Oper. Ineficiente</v>
      </c>
      <c r="EZ236" s="42">
        <f>VLOOKUP(BK236,Fundamentus!A:U,14,FALSE)</f>
        <v>0</v>
      </c>
      <c r="FA236" s="20" t="str">
        <f>IF(VLOOKUP(BK236,Fundamentus!A:U,21,FALSE)&lt;0,"Negativo",IF(VLOOKUP(BK236,Fundamentus!A:U,21,FALSE)&lt;0.05,"Fraco",IF(VLOOKUP(BK236,Fundamentus!A:U,21,FALSE)&lt;0.1,"Bom",IF(VLOOKUP(BK236,Fundamentus!A:U,21,FALSE)&gt;0.1,"Muito bom","n/a"))))</f>
        <v>Muito bom</v>
      </c>
      <c r="FC236" s="37" t="str">
        <f>IF(VLOOKUP(BK236,Fundamentus!A:U,15,FALSE)&gt;1,"Bom",IF(VLOOKUP(BK236,Fundamentus!A:U,15,FALSE)&lt;1,"Ruim","n/a"))</f>
        <v>Ruim</v>
      </c>
      <c r="FD236" s="20" t="str">
        <f>IF(VLOOKUP(BK236,Fundamentus!A:U,20,FALSE)&lt;0.5,"Baixa",IF(VLOOKUP(BK236,Fundamentus!A:U,20,FALSE)&lt;1,"Moderada",IF(VLOOKUP(BK236,Fundamentus!A:U,20,FALSE)&lt;2,"Alerta",IF(VLOOKUP(BK236,Fundamentus!A:U,20,FALSE)&gt;2,"Alta","n/a"))))</f>
        <v>Baixa</v>
      </c>
    </row>
    <row r="237" spans="1:160" s="2" customFormat="1" ht="11.25" hidden="1"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8">
        <v>4.7</v>
      </c>
      <c r="BC237" s="62">
        <v>4.49</v>
      </c>
      <c r="BD237" s="62">
        <v>4.5999999999999996</v>
      </c>
      <c r="BE237" s="62">
        <v>4.75</v>
      </c>
      <c r="BF237" s="62">
        <v>4.7699999999999996</v>
      </c>
      <c r="BG237" s="81">
        <v>4.91</v>
      </c>
      <c r="BH237" s="62">
        <v>5.05</v>
      </c>
      <c r="BI237" s="62">
        <v>4.9000000000000004</v>
      </c>
      <c r="BJ237" s="62" cm="1">
        <f t="array" aca="1" ref="BJ237" ca="1">_FV(EH237,"Preço")</f>
        <v>4.9000000000000004</v>
      </c>
      <c r="BK237" s="83" t="s">
        <v>233</v>
      </c>
      <c r="BL237" s="44" cm="1">
        <f t="array" aca="1" ref="BL237" ca="1">_FV(EH237,"Média de volume",TRUE)</f>
        <v>3300</v>
      </c>
      <c r="BM237" s="44">
        <v>500</v>
      </c>
      <c r="BN237" s="44" cm="1">
        <f t="array" aca="1" ref="BN237" ca="1">_FV(EH237,"Volume")</f>
        <v>500</v>
      </c>
      <c r="BO237" s="32" cm="1">
        <f t="array" aca="1" ref="BO237" ca="1">_FV(EH237,"Beta")</f>
        <v>0.55159999999999998</v>
      </c>
      <c r="BP237" s="86" cm="1">
        <f t="array" aca="1" ref="BP237" ca="1">_FV(EH237,"Variação (%)",TRUE)</f>
        <v>0</v>
      </c>
      <c r="BQ237" s="48"/>
      <c r="BR237" s="48"/>
      <c r="BT237" s="20" cm="1">
        <f t="array" aca="1" ref="BT237" ca="1">_FV(EH237,"Baixo")</f>
        <v>4.9000000000000004</v>
      </c>
      <c r="BU237" s="20" cm="1">
        <f t="array" aca="1" ref="BU237" ca="1">_FV(EH237,"Alto")</f>
        <v>4.96</v>
      </c>
      <c r="BV237" s="32"/>
      <c r="BW237" s="73">
        <f ca="1">SQRT(22.5*(BJ237/VLOOKUP(BK237,Fundamentus!A:U,3,FALSE))*(BJ237/VLOOKUP(BK237,Fundamentus!A:U,4,FALSE)))</f>
        <v>5.6319937557145865</v>
      </c>
      <c r="BY237" s="72">
        <f t="shared" ca="1" si="198"/>
        <v>0</v>
      </c>
      <c r="BZ237" s="8"/>
      <c r="CA237" s="71">
        <f t="shared" si="205"/>
        <v>4.49</v>
      </c>
      <c r="CB237" s="71">
        <f t="shared" si="199"/>
        <v>7.48</v>
      </c>
      <c r="CC237" s="71">
        <f t="shared" si="206"/>
        <v>5.5510655737704919</v>
      </c>
      <c r="CD237" s="17"/>
      <c r="CE237" s="43">
        <f t="shared" si="203"/>
        <v>4.8418207881739566</v>
      </c>
      <c r="CF237" s="18">
        <f>FORECAST("04/07/2025", BF237:BI237, $BF$5:$BI$5)</f>
        <v>5.0400000000000205</v>
      </c>
      <c r="CG237" s="43">
        <f t="shared" si="204"/>
        <v>5.2381792118260844</v>
      </c>
      <c r="CI237" s="17"/>
      <c r="CJ237" s="20">
        <f>CA237-2*(CB237-CM237)</f>
        <v>0.77666666666666728</v>
      </c>
      <c r="CK237" s="20">
        <f>CM237-(CB237-CA237)</f>
        <v>2.6333333333333337</v>
      </c>
      <c r="CL237" s="20">
        <f>2*CM237-CB237</f>
        <v>3.7666666666666675</v>
      </c>
      <c r="CM237" s="48">
        <f>(CB237+CA237+BI237)/3</f>
        <v>5.623333333333334</v>
      </c>
      <c r="CN237" s="20">
        <f>2*CM237-CA237</f>
        <v>6.7566666666666677</v>
      </c>
      <c r="CO237" s="20">
        <f>CM237+(CB237-CA237)</f>
        <v>8.6133333333333333</v>
      </c>
      <c r="CP237" s="20">
        <f>CB237+2*(CM237-CA237)</f>
        <v>9.7466666666666679</v>
      </c>
      <c r="CQ237" s="2" cm="1">
        <f t="array" aca="1" ref="CQ237" ca="1">MAX(_xlfn._xlws.FILTER(CJ237:CP237,CJ237:CP237&lt;BJ237))</f>
        <v>3.7666666666666675</v>
      </c>
      <c r="CR237" s="2" cm="1">
        <f t="array" aca="1" ref="CR237" ca="1">MIN(_xlfn._xlws.FILTER($CJ237:$CP237,$CJ237:$CP237&gt;BJ237))</f>
        <v>5.623333333333334</v>
      </c>
      <c r="CS237" s="19">
        <f t="shared" ca="1" si="207"/>
        <v>0.49292035398230083</v>
      </c>
      <c r="CT237" s="23">
        <f t="shared" ca="1" si="208"/>
        <v>-0.24646017699115041</v>
      </c>
      <c r="CU237" s="23">
        <f t="shared" ca="1" si="209"/>
        <v>-0.16430678466076695</v>
      </c>
      <c r="CV237" s="23">
        <f t="shared" ca="1" si="210"/>
        <v>-9.8584070796460171E-2</v>
      </c>
      <c r="CW237" s="23">
        <f t="shared" ca="1" si="211"/>
        <v>-5.4768928220255648E-2</v>
      </c>
      <c r="CX237" s="23">
        <f t="shared" ca="1" si="212"/>
        <v>-2.8995314940135342E-2</v>
      </c>
      <c r="CY237" s="23">
        <f t="shared" ca="1" si="213"/>
        <v>-1.4936980423706087E-2</v>
      </c>
      <c r="CZ237" s="23">
        <f t="shared" ca="1" si="214"/>
        <v>-7.5833900612661664E-3</v>
      </c>
      <c r="DA237" s="24">
        <f t="shared" ca="1" si="215"/>
        <v>7.5833900612661664E-3</v>
      </c>
      <c r="DB237" s="24">
        <f t="shared" ca="1" si="216"/>
        <v>1.4936980423706087E-2</v>
      </c>
      <c r="DC237" s="24">
        <f t="shared" ca="1" si="217"/>
        <v>2.8995314940135342E-2</v>
      </c>
      <c r="DD237" s="24">
        <f t="shared" ca="1" si="218"/>
        <v>5.4768928220255648E-2</v>
      </c>
      <c r="DE237" s="24">
        <f t="shared" ca="1" si="219"/>
        <v>9.8584070796460171E-2</v>
      </c>
      <c r="DF237" s="24">
        <f t="shared" ca="1" si="220"/>
        <v>0.16430678466076695</v>
      </c>
      <c r="DG237" s="24">
        <f t="shared" ca="1" si="221"/>
        <v>0.24646017699115041</v>
      </c>
      <c r="DI237" s="19" cm="1">
        <f t="array" aca="1" ref="DI237" ca="1">MAX(_xlfn._xlws.FILTER(CT237:DG237,CT237:DG237&lt;BP237))</f>
        <v>-7.5833900612661664E-3</v>
      </c>
      <c r="DJ237" s="19" cm="1">
        <f t="array" aca="1" ref="DJ237" ca="1">MIN(_xlfn._xlws.FILTER(CT237:DG237,CT237:DG237&gt;BP237))</f>
        <v>7.5833900612661664E-3</v>
      </c>
      <c r="DK237" s="2" cm="1">
        <f t="array" aca="1" ref="DK237" ca="1">_FV(EH237,"Fechamento anterior",TRUE)</f>
        <v>4.9000000000000004</v>
      </c>
      <c r="DL237" s="36">
        <f ca="1">(BJ237-DM237)/(DN237-DM237)</f>
        <v>0.5</v>
      </c>
      <c r="DM237" s="18">
        <f t="shared" ca="1" si="222"/>
        <v>4.8628413886997963</v>
      </c>
      <c r="DN237" s="18">
        <f t="shared" ca="1" si="223"/>
        <v>4.9371586113002044</v>
      </c>
      <c r="DO237" s="9"/>
      <c r="DP237" s="9"/>
      <c r="DQ237" s="94">
        <v>1.6274101590670973E-2</v>
      </c>
      <c r="DR237" s="94">
        <v>1.6274101590670973E-2</v>
      </c>
      <c r="DS237" s="94">
        <v>1.511280239195432E-2</v>
      </c>
      <c r="DT237" s="94">
        <f t="shared" ca="1" si="200"/>
        <v>1.5166780122532333E-2</v>
      </c>
      <c r="DU237" s="87">
        <f ca="1">(BJ237-CF237)/(CF237-CE237)</f>
        <v>-0.7064313088644939</v>
      </c>
      <c r="DV237" s="46"/>
      <c r="DW237" s="43">
        <f>_xlfn.STDEV.P(BF237:BI237)</f>
        <v>9.9089605913032147E-2</v>
      </c>
      <c r="DX237" s="76">
        <f ca="1">BO237-$DT$2</f>
        <v>-0.44550000000000012</v>
      </c>
      <c r="DY237" s="76">
        <f ca="1">BO237-BP237*100</f>
        <v>0.55159999999999998</v>
      </c>
      <c r="DZ237" s="101"/>
      <c r="EA237" s="100">
        <v>1.7185999999999999</v>
      </c>
      <c r="EB237" s="107">
        <v>2.2418999999999998</v>
      </c>
      <c r="EC237" s="107">
        <v>1.0038999999999998</v>
      </c>
      <c r="ED237" s="98">
        <f t="shared" ca="1" si="196"/>
        <v>-0.9971000000000001</v>
      </c>
      <c r="EE237" s="66"/>
      <c r="EF237" s="66"/>
      <c r="EH237" s="2" t="e" vm="239">
        <v>#VALUE!</v>
      </c>
      <c r="EJ237" s="10" cm="1">
        <f t="array" aca="1" ref="EJ237" ca="1">_FV(EH237,"Ações em circulação",TRUE)</f>
        <v>14860570</v>
      </c>
      <c r="EK237" s="21">
        <f>VLOOKUP(BK237,Fundamentus!A:U,5,FALSE)</f>
        <v>10.347</v>
      </c>
      <c r="EL237" s="2">
        <f ca="1">(BJ237*EJ237)/EK237</f>
        <v>7037478.7861215817</v>
      </c>
      <c r="EM237" s="20">
        <v>5727100.2361457432</v>
      </c>
      <c r="EN237" s="20">
        <f t="shared" ca="1" si="201"/>
        <v>5727100.2361457432</v>
      </c>
      <c r="EP237" s="19">
        <f t="shared" ca="1" si="197"/>
        <v>0</v>
      </c>
      <c r="EQ237" s="40" t="str">
        <f>IF(VLOOKUP(BK237,Fundamentus!A:U,3,FALSE)&lt;15,"Bom",IF(VLOOKUP(BK237,Fundamentus!A:U,3,FALSE)&gt;15,"Ruim","n/a"))</f>
        <v>Bom</v>
      </c>
      <c r="ER237" s="36" t="str">
        <f>IF(VLOOKUP(BK237,Fundamentus!A:U,4,FALSE)&lt;1,"Baixo",IF(VLOOKUP(BK237,Fundamentus!A:U,4,FALSE)&lt;1.5,"Moderado",IF(VLOOKUP(BK237,Fundamentus!A:U,4,FALSE)&gt;1.5,"Alto","n/a")))</f>
        <v>Moderado</v>
      </c>
      <c r="ES237" s="20" t="str">
        <f>IF(VLOOKUP(BK237,Fundamentus!A:U,8,FALSE)&lt;0,"Risco elevado",IF(VLOOKUP(BK237,Fundamentus!A:U,8,FALSE)&lt;1,"Saudável",IF(VLOOKUP(BK237,Fundamentus!A:U,8,FALSE)&lt;3,"Estável",IF(VLOOKUP(BK237,Fundamentus!A:U,8,FALSE)&gt;3,"Alerta","n/a"))))</f>
        <v>Alerta</v>
      </c>
      <c r="ET237" s="36" t="str">
        <f t="shared" si="202"/>
        <v>Bom</v>
      </c>
      <c r="EU237" s="20" t="str">
        <f>IF(VLOOKUP(BK237,Fundamentus!A:U,12,FALSE)&lt;2,"Subvalorizada",IF(VLOOKUP(BK237,Fundamentus!A:U,12,FALSE)&lt;6,"Muita barata",IF(VLOOKUP(BK237,Fundamentus!A:U,12,FALSE)&lt;6,"Barata",IF(VLOOKUP(BK237,Fundamentus!A:U,12,FALSE)&lt;8,"Atrativa",IF(VLOOKUP(BK237,Fundamentus!A:U,12,FALSE)&gt;8,"Supervalorizada","n/a")))))</f>
        <v>Subvalorizada</v>
      </c>
      <c r="EW237" s="20" t="str">
        <f>IF(VLOOKUP(BK237,Fundamentus!A:U,17,FALSE)&lt;0.1,"Fraco retorno",IF(VLOOKUP(BK237,Fundamentus!A:U,17,FALSE)&gt;0.1,"Bom retorno","n/a"))</f>
        <v>Bom retorno</v>
      </c>
      <c r="EX237" s="20" t="str">
        <f>IF(VLOOKUP(BK237,Fundamentus!A:U,16,FALSE)&lt;0.1,"Ineficiente",IF(VLOOKUP(BK237,Fundamentus!A:U,16,FALSE)&gt;0.1,"Eficiente","n/a"))</f>
        <v>Ineficiente</v>
      </c>
      <c r="EY237" s="41" t="str">
        <f>IF(VLOOKUP(BK237,Fundamentus!A:U,16,FALSE)&lt;0.1,"Oper. Ineficiente",IF(VLOOKUP(BK237,Fundamentus!A:U,16,FALSE)&gt;0.1,"Oper.Eficiente","n/a"))</f>
        <v>Oper. Ineficiente</v>
      </c>
      <c r="EZ237" s="42">
        <f>VLOOKUP(BK237,Fundamentus!A:U,14,FALSE)</f>
        <v>0.81379999999999997</v>
      </c>
      <c r="FA237" s="20" t="str">
        <f>IF(VLOOKUP(BK237,Fundamentus!A:U,21,FALSE)&lt;0,"Negativo",IF(VLOOKUP(BK237,Fundamentus!A:U,21,FALSE)&lt;0.05,"Fraco",IF(VLOOKUP(BK237,Fundamentus!A:U,21,FALSE)&lt;0.1,"Bom",IF(VLOOKUP(BK237,Fundamentus!A:U,21,FALSE)&gt;0.1,"Muito bom","n/a"))))</f>
        <v>Negativo</v>
      </c>
      <c r="FC237" s="37" t="str">
        <f>IF(VLOOKUP(BK237,Fundamentus!A:U,15,FALSE)&gt;1,"Bom",IF(VLOOKUP(BK237,Fundamentus!A:U,15,FALSE)&lt;1,"Ruim","n/a"))</f>
        <v>Bom</v>
      </c>
      <c r="FD237" s="20" t="str">
        <f>IF(VLOOKUP(BK237,Fundamentus!A:U,20,FALSE)&lt;0.5,"Baixa",IF(VLOOKUP(BK237,Fundamentus!A:U,20,FALSE)&lt;1,"Moderada",IF(VLOOKUP(BK237,Fundamentus!A:U,20,FALSE)&lt;2,"Alerta",IF(VLOOKUP(BK237,Fundamentus!A:U,20,FALSE)&gt;2,"Alta","n/a"))))</f>
        <v>Baixa</v>
      </c>
    </row>
    <row r="238" spans="1:160" s="2" customFormat="1" ht="11.25" hidden="1"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8">
        <v>5.3</v>
      </c>
      <c r="BC238" s="62">
        <v>5.87</v>
      </c>
      <c r="BD238" s="62">
        <v>6.07</v>
      </c>
      <c r="BE238" s="62">
        <v>6.06</v>
      </c>
      <c r="BF238" s="62">
        <v>5.42</v>
      </c>
      <c r="BG238" s="81">
        <v>5.67</v>
      </c>
      <c r="BH238" s="62">
        <v>6.07</v>
      </c>
      <c r="BI238" s="62">
        <v>6.4</v>
      </c>
      <c r="BJ238" s="62" cm="1">
        <f t="array" aca="1" ref="BJ238" ca="1">_FV(EH238,"Preço")</f>
        <v>6.6</v>
      </c>
      <c r="BK238" s="83" t="s">
        <v>234</v>
      </c>
      <c r="BL238" s="44" cm="1">
        <f t="array" aca="1" ref="BL238" ca="1">_FV(EH238,"Média de volume",TRUE)</f>
        <v>376860</v>
      </c>
      <c r="BM238" s="44">
        <v>563900</v>
      </c>
      <c r="BN238" s="44" cm="1">
        <f t="array" aca="1" ref="BN238" ca="1">_FV(EH238,"Volume")</f>
        <v>287300</v>
      </c>
      <c r="BO238" s="32" cm="1">
        <f t="array" aca="1" ref="BO238" ca="1">_FV(EH238,"Beta")</f>
        <v>0.73419999999999996</v>
      </c>
      <c r="BP238" s="86" cm="1">
        <f t="array" aca="1" ref="BP238" ca="1">_FV(EH238,"Variação (%)",TRUE)</f>
        <v>3.125E-2</v>
      </c>
      <c r="BQ238" s="48"/>
      <c r="BR238" s="48"/>
      <c r="BT238" s="20" cm="1">
        <f t="array" aca="1" ref="BT238" ca="1">_FV(EH238,"Baixo")</f>
        <v>6.38</v>
      </c>
      <c r="BU238" s="20" cm="1">
        <f t="array" aca="1" ref="BU238" ca="1">_FV(EH238,"Alto")</f>
        <v>6.66</v>
      </c>
      <c r="BV238" s="32"/>
      <c r="BW238" s="73">
        <f ca="1">SQRT(22.5*(BJ238/VLOOKUP(BK238,Fundamentus!A:U,3,FALSE))*(BJ238/VLOOKUP(BK238,Fundamentus!A:U,4,FALSE)))</f>
        <v>28.291488648188587</v>
      </c>
      <c r="BY238" s="72">
        <f t="shared" ca="1" si="198"/>
        <v>3.1249999999999889E-2</v>
      </c>
      <c r="BZ238" s="8"/>
      <c r="CA238" s="71">
        <f t="shared" si="205"/>
        <v>4.5</v>
      </c>
      <c r="CB238" s="71">
        <f t="shared" si="199"/>
        <v>11.3</v>
      </c>
      <c r="CC238" s="71">
        <f t="shared" si="206"/>
        <v>7.152295081967214</v>
      </c>
      <c r="CD238" s="17"/>
      <c r="CE238" s="43">
        <f t="shared" si="203"/>
        <v>5.9754668119421686</v>
      </c>
      <c r="CF238" s="18">
        <f>FORECAST("04/07/2025", BF238:BI238, $BF$5:$BI$5)</f>
        <v>6.7249999999999091</v>
      </c>
      <c r="CG238" s="43">
        <f t="shared" si="204"/>
        <v>7.4745331880576495</v>
      </c>
      <c r="CI238" s="17"/>
      <c r="CJ238" s="20">
        <f>CA238-2*(CB238-CM238)</f>
        <v>-3.2999999999999989</v>
      </c>
      <c r="CK238" s="20">
        <f>CM238-(CB238-CA238)</f>
        <v>0.60000000000000053</v>
      </c>
      <c r="CL238" s="20">
        <f>2*CM238-CB238</f>
        <v>3.5000000000000018</v>
      </c>
      <c r="CM238" s="48">
        <f>(CB238+CA238+BI238)/3</f>
        <v>7.4000000000000012</v>
      </c>
      <c r="CN238" s="20">
        <f>2*CM238-CA238</f>
        <v>10.300000000000002</v>
      </c>
      <c r="CO238" s="20">
        <f>CM238+(CB238-CA238)</f>
        <v>14.200000000000003</v>
      </c>
      <c r="CP238" s="20">
        <f>CB238+2*(CM238-CA238)</f>
        <v>17.100000000000001</v>
      </c>
      <c r="CQ238" s="2" cm="1">
        <f t="array" aca="1" ref="CQ238" ca="1">MAX(_xlfn._xlws.FILTER(CJ238:CP238,CJ238:CP238&lt;BJ238))</f>
        <v>3.5000000000000018</v>
      </c>
      <c r="CR238" s="2" cm="1">
        <f t="array" aca="1" ref="CR238" ca="1">MIN(_xlfn._xlws.FILTER($CJ238:$CP238,$CJ238:$CP238&gt;BJ238))</f>
        <v>7.4000000000000012</v>
      </c>
      <c r="CS238" s="19">
        <f t="shared" ca="1" si="207"/>
        <v>1.1142857142857134</v>
      </c>
      <c r="CT238" s="23">
        <f t="shared" ca="1" si="208"/>
        <v>-0.55714285714285672</v>
      </c>
      <c r="CU238" s="23">
        <f t="shared" ca="1" si="209"/>
        <v>-0.37142857142857116</v>
      </c>
      <c r="CV238" s="23">
        <f t="shared" ca="1" si="210"/>
        <v>-0.2228571428571427</v>
      </c>
      <c r="CW238" s="23">
        <f t="shared" ca="1" si="211"/>
        <v>-0.12380952380952372</v>
      </c>
      <c r="CX238" s="23">
        <f t="shared" ca="1" si="212"/>
        <v>-6.5546218487394906E-2</v>
      </c>
      <c r="CY238" s="23">
        <f t="shared" ca="1" si="213"/>
        <v>-3.3766233766233743E-2</v>
      </c>
      <c r="CZ238" s="23">
        <f t="shared" ca="1" si="214"/>
        <v>-1.714285714285713E-2</v>
      </c>
      <c r="DA238" s="24">
        <f t="shared" ca="1" si="215"/>
        <v>1.714285714285713E-2</v>
      </c>
      <c r="DB238" s="24">
        <f t="shared" ca="1" si="216"/>
        <v>3.3766233766233743E-2</v>
      </c>
      <c r="DC238" s="24">
        <f t="shared" ca="1" si="217"/>
        <v>6.5546218487394906E-2</v>
      </c>
      <c r="DD238" s="24">
        <f t="shared" ca="1" si="218"/>
        <v>0.12380952380952372</v>
      </c>
      <c r="DE238" s="24">
        <f t="shared" ca="1" si="219"/>
        <v>0.2228571428571427</v>
      </c>
      <c r="DF238" s="24">
        <f t="shared" ca="1" si="220"/>
        <v>0.37142857142857116</v>
      </c>
      <c r="DG238" s="24">
        <f t="shared" ca="1" si="221"/>
        <v>0.55714285714285672</v>
      </c>
      <c r="DI238" s="19" cm="1">
        <f t="array" aca="1" ref="DI238" ca="1">MAX(_xlfn._xlws.FILTER(CT238:DG238,CT238:DG238&lt;BP238))</f>
        <v>1.714285714285713E-2</v>
      </c>
      <c r="DJ238" s="19" cm="1">
        <f t="array" aca="1" ref="DJ238" ca="1">MIN(_xlfn._xlws.FILTER(CT238:DG238,CT238:DG238&gt;BP238))</f>
        <v>3.3766233766233743E-2</v>
      </c>
      <c r="DK238" s="2" cm="1">
        <f t="array" aca="1" ref="DK238" ca="1">_FV(EH238,"Fechamento anterior",TRUE)</f>
        <v>6.4</v>
      </c>
      <c r="DL238" s="36">
        <f ca="1">(BJ238-DM238)/(DN238-DM238)</f>
        <v>0.84863281249999178</v>
      </c>
      <c r="DM238" s="18">
        <f t="shared" ca="1" si="222"/>
        <v>6.5097142857142858</v>
      </c>
      <c r="DN238" s="18">
        <f t="shared" ca="1" si="223"/>
        <v>6.6161038961038967</v>
      </c>
      <c r="DO238" s="9"/>
      <c r="DP238" s="9"/>
      <c r="DQ238" s="94">
        <v>1.6377775695680694E-2</v>
      </c>
      <c r="DR238" s="94">
        <v>7.5371687136393056E-2</v>
      </c>
      <c r="DS238" s="94">
        <v>4.2307692307692338E-2</v>
      </c>
      <c r="DT238" s="94">
        <f t="shared" ca="1" si="200"/>
        <v>1.6623376623376613E-2</v>
      </c>
      <c r="DU238" s="87">
        <f ca="1">(BJ238-CF238)/(CF238-CE238)</f>
        <v>-0.16677046726085729</v>
      </c>
      <c r="DV238" s="46"/>
      <c r="DW238" s="43">
        <f>_xlfn.STDEV.P(BF238:BI238)</f>
        <v>0.37476659402887036</v>
      </c>
      <c r="DX238" s="76">
        <f ca="1">BO238-$DT$2</f>
        <v>-0.26290000000000013</v>
      </c>
      <c r="DY238" s="76">
        <f ca="1">BO238-BP238*100</f>
        <v>-2.3908</v>
      </c>
      <c r="DZ238" s="101"/>
      <c r="EA238" s="100">
        <v>5.9424000000000001</v>
      </c>
      <c r="EB238" s="107">
        <v>2.5774999999999997</v>
      </c>
      <c r="EC238" s="107">
        <v>3.9085999999999999</v>
      </c>
      <c r="ED238" s="98">
        <f t="shared" ca="1" si="196"/>
        <v>2.1278999999999999</v>
      </c>
      <c r="EE238" s="66"/>
      <c r="EF238" s="66"/>
      <c r="EH238" s="2" t="e" vm="240">
        <v>#VALUE!</v>
      </c>
      <c r="EJ238" s="10" cm="1">
        <f t="array" aca="1" ref="EJ238" ca="1">_FV(EH238,"Ações em circulação",TRUE)</f>
        <v>152644400</v>
      </c>
      <c r="EK238" s="21">
        <f>VLOOKUP(BK238,Fundamentus!A:U,5,FALSE)</f>
        <v>0.65100000000000002</v>
      </c>
      <c r="EL238" s="2">
        <f ca="1">(BJ238*EJ238)/EK238</f>
        <v>1547546912.4423962</v>
      </c>
      <c r="EM238" s="20">
        <v>757528903.17665136</v>
      </c>
      <c r="EN238" s="20">
        <f t="shared" ca="1" si="201"/>
        <v>781201681.40092158</v>
      </c>
      <c r="EP238" s="19">
        <f t="shared" ca="1" si="197"/>
        <v>3.1249999999999778E-2</v>
      </c>
      <c r="EQ238" s="40" t="str">
        <f>IF(VLOOKUP(BK238,Fundamentus!A:U,3,FALSE)&lt;15,"Bom",IF(VLOOKUP(BK238,Fundamentus!A:U,3,FALSE)&gt;15,"Ruim","n/a"))</f>
        <v>Bom</v>
      </c>
      <c r="ER238" s="36" t="str">
        <f>IF(VLOOKUP(BK238,Fundamentus!A:U,4,FALSE)&lt;1,"Baixo",IF(VLOOKUP(BK238,Fundamentus!A:U,4,FALSE)&lt;1.5,"Moderado",IF(VLOOKUP(BK238,Fundamentus!A:U,4,FALSE)&gt;1.5,"Alto","n/a")))</f>
        <v>Baixo</v>
      </c>
      <c r="ES238" s="20" t="str">
        <f>IF(VLOOKUP(BK238,Fundamentus!A:U,8,FALSE)&lt;0,"Risco elevado",IF(VLOOKUP(BK238,Fundamentus!A:U,8,FALSE)&lt;1,"Saudável",IF(VLOOKUP(BK238,Fundamentus!A:U,8,FALSE)&lt;3,"Estável",IF(VLOOKUP(BK238,Fundamentus!A:U,8,FALSE)&gt;3,"Alerta","n/a"))))</f>
        <v>Saudável</v>
      </c>
      <c r="ET238" s="36" t="str">
        <f t="shared" si="202"/>
        <v>Ruim</v>
      </c>
      <c r="EU238" s="20" t="str">
        <f>IF(VLOOKUP(BK238,Fundamentus!A:U,12,FALSE)&lt;2,"Subvalorizada",IF(VLOOKUP(BK238,Fundamentus!A:U,12,FALSE)&lt;6,"Muita barata",IF(VLOOKUP(BK238,Fundamentus!A:U,12,FALSE)&lt;6,"Barata",IF(VLOOKUP(BK238,Fundamentus!A:U,12,FALSE)&lt;8,"Atrativa",IF(VLOOKUP(BK238,Fundamentus!A:U,12,FALSE)&gt;8,"Supervalorizada","n/a")))))</f>
        <v>Muita barata</v>
      </c>
      <c r="EW238" s="20" t="str">
        <f>IF(VLOOKUP(BK238,Fundamentus!A:U,17,FALSE)&lt;0.1,"Fraco retorno",IF(VLOOKUP(BK238,Fundamentus!A:U,17,FALSE)&gt;0.1,"Bom retorno","n/a"))</f>
        <v>Bom retorno</v>
      </c>
      <c r="EX238" s="20" t="str">
        <f>IF(VLOOKUP(BK238,Fundamentus!A:U,16,FALSE)&lt;0.1,"Ineficiente",IF(VLOOKUP(BK238,Fundamentus!A:U,16,FALSE)&gt;0.1,"Eficiente","n/a"))</f>
        <v>Eficiente</v>
      </c>
      <c r="EY238" s="41" t="str">
        <f>IF(VLOOKUP(BK238,Fundamentus!A:U,16,FALSE)&lt;0.1,"Oper. Ineficiente",IF(VLOOKUP(BK238,Fundamentus!A:U,16,FALSE)&gt;0.1,"Oper.Eficiente","n/a"))</f>
        <v>Oper.Eficiente</v>
      </c>
      <c r="EZ238" s="42">
        <f>VLOOKUP(BK238,Fundamentus!A:U,14,FALSE)</f>
        <v>0.50480000000000003</v>
      </c>
      <c r="FA238" s="20" t="str">
        <f>IF(VLOOKUP(BK238,Fundamentus!A:U,21,FALSE)&lt;0,"Negativo",IF(VLOOKUP(BK238,Fundamentus!A:U,21,FALSE)&lt;0.05,"Fraco",IF(VLOOKUP(BK238,Fundamentus!A:U,21,FALSE)&lt;0.1,"Bom",IF(VLOOKUP(BK238,Fundamentus!A:U,21,FALSE)&gt;0.1,"Muito bom","n/a"))))</f>
        <v>Fraco</v>
      </c>
      <c r="FC238" s="37" t="str">
        <f>IF(VLOOKUP(BK238,Fundamentus!A:U,15,FALSE)&gt;1,"Bom",IF(VLOOKUP(BK238,Fundamentus!A:U,15,FALSE)&lt;1,"Ruim","n/a"))</f>
        <v>Bom</v>
      </c>
      <c r="FD238" s="20" t="str">
        <f>IF(VLOOKUP(BK238,Fundamentus!A:U,20,FALSE)&lt;0.5,"Baixa",IF(VLOOKUP(BK238,Fundamentus!A:U,20,FALSE)&lt;1,"Moderada",IF(VLOOKUP(BK238,Fundamentus!A:U,20,FALSE)&lt;2,"Alerta",IF(VLOOKUP(BK238,Fundamentus!A:U,20,FALSE)&gt;2,"Alta","n/a"))))</f>
        <v>Moderada</v>
      </c>
    </row>
    <row r="239" spans="1:160" s="2" customFormat="1" ht="11.25" hidden="1"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8">
        <v>6.15</v>
      </c>
      <c r="BC239" s="62">
        <v>5.49</v>
      </c>
      <c r="BD239" s="62">
        <v>5.07</v>
      </c>
      <c r="BE239" s="62">
        <v>5.29</v>
      </c>
      <c r="BF239" s="62">
        <v>5.92</v>
      </c>
      <c r="BG239" s="81">
        <v>5.76</v>
      </c>
      <c r="BH239" s="62">
        <v>5.86</v>
      </c>
      <c r="BI239" s="62">
        <v>5.92</v>
      </c>
      <c r="BJ239" s="62" cm="1">
        <f t="array" aca="1" ref="BJ239" ca="1">_FV(EH239,"Preço")</f>
        <v>6.17</v>
      </c>
      <c r="BK239" s="83" t="s">
        <v>235</v>
      </c>
      <c r="BL239" s="44" cm="1">
        <f t="array" aca="1" ref="BL239" ca="1">_FV(EH239,"Média de volume",TRUE)</f>
        <v>9369910</v>
      </c>
      <c r="BM239" s="44">
        <v>10459700</v>
      </c>
      <c r="BN239" s="44" cm="1">
        <f t="array" aca="1" ref="BN239" ca="1">_FV(EH239,"Volume")</f>
        <v>6126000</v>
      </c>
      <c r="BO239" s="32" cm="1">
        <f t="array" aca="1" ref="BO239" ca="1">_FV(EH239,"Beta")</f>
        <v>1.6227</v>
      </c>
      <c r="BP239" s="86" cm="1">
        <f t="array" aca="1" ref="BP239" ca="1">_FV(EH239,"Variação (%)",TRUE)</f>
        <v>4.2229999999999997E-2</v>
      </c>
      <c r="BQ239" s="48"/>
      <c r="BR239" s="48"/>
      <c r="BT239" s="20" cm="1">
        <f t="array" aca="1" ref="BT239" ca="1">_FV(EH239,"Baixo")</f>
        <v>5.87</v>
      </c>
      <c r="BU239" s="20" cm="1">
        <f t="array" aca="1" ref="BU239" ca="1">_FV(EH239,"Alto")</f>
        <v>6.19</v>
      </c>
      <c r="BV239" s="32"/>
      <c r="BW239" s="70" t="e">
        <f ca="1">SQRT(22.5*(BJ239/VLOOKUP(BK239,Fundamentus!A:U,3,FALSE))*(BJ239/VLOOKUP(BK239,Fundamentus!A:U,4,FALSE)))</f>
        <v>#NUM!</v>
      </c>
      <c r="BY239" s="72">
        <f t="shared" ca="1" si="198"/>
        <v>4.2229729729729729E-2</v>
      </c>
      <c r="BZ239" s="8"/>
      <c r="CA239" s="71">
        <f t="shared" si="205"/>
        <v>4.51</v>
      </c>
      <c r="CB239" s="71">
        <f t="shared" si="199"/>
        <v>8.0299999999999994</v>
      </c>
      <c r="CC239" s="71">
        <f t="shared" si="206"/>
        <v>6.2105737704918038</v>
      </c>
      <c r="CD239" s="17"/>
      <c r="CE239" s="43">
        <f t="shared" si="203"/>
        <v>5.759233031693773</v>
      </c>
      <c r="CF239" s="18">
        <f>FORECAST("04/07/2025", BF239:BI239, $BF$5:$BI$5)</f>
        <v>5.8899999999999935</v>
      </c>
      <c r="CG239" s="43">
        <f t="shared" si="204"/>
        <v>6.0207669683062139</v>
      </c>
      <c r="CI239" s="17"/>
      <c r="CJ239" s="20">
        <f>CA239-2*(CB239-CM239)</f>
        <v>0.75666666666666771</v>
      </c>
      <c r="CK239" s="20">
        <f>CM239-(CB239-CA239)</f>
        <v>2.6333333333333337</v>
      </c>
      <c r="CL239" s="20">
        <f>2*CM239-CB239</f>
        <v>4.2766666666666673</v>
      </c>
      <c r="CM239" s="48">
        <f>(CB239+CA239+BI239)/3</f>
        <v>6.1533333333333333</v>
      </c>
      <c r="CN239" s="20">
        <f>2*CM239-CA239</f>
        <v>7.7966666666666669</v>
      </c>
      <c r="CO239" s="20">
        <f>CM239+(CB239-CA239)</f>
        <v>9.673333333333332</v>
      </c>
      <c r="CP239" s="20">
        <f>CB239+2*(CM239-CA239)</f>
        <v>11.316666666666666</v>
      </c>
      <c r="CQ239" s="2" cm="1">
        <f t="array" aca="1" ref="CQ239" ca="1">MAX(_xlfn._xlws.FILTER(CJ239:CP239,CJ239:CP239&lt;BJ239))</f>
        <v>6.1533333333333333</v>
      </c>
      <c r="CR239" s="2" cm="1">
        <f t="array" aca="1" ref="CR239" ca="1">MIN(_xlfn._xlws.FILTER($CJ239:$CP239,$CJ239:$CP239&gt;BJ239))</f>
        <v>7.7966666666666669</v>
      </c>
      <c r="CS239" s="19">
        <f t="shared" ca="1" si="207"/>
        <v>0.2670639219934996</v>
      </c>
      <c r="CT239" s="23">
        <f t="shared" ca="1" si="208"/>
        <v>-0.1335319609967498</v>
      </c>
      <c r="CU239" s="23">
        <f t="shared" ca="1" si="209"/>
        <v>-8.9021307331166533E-2</v>
      </c>
      <c r="CV239" s="23">
        <f t="shared" ca="1" si="210"/>
        <v>-5.3412784398699918E-2</v>
      </c>
      <c r="CW239" s="23">
        <f t="shared" ca="1" si="211"/>
        <v>-2.9673769110388843E-2</v>
      </c>
      <c r="CX239" s="23">
        <f t="shared" ca="1" si="212"/>
        <v>-1.570964247020586E-2</v>
      </c>
      <c r="CY239" s="23">
        <f t="shared" ca="1" si="213"/>
        <v>-8.0928461210151396E-3</v>
      </c>
      <c r="CZ239" s="23">
        <f t="shared" ca="1" si="214"/>
        <v>-4.108675722976917E-3</v>
      </c>
      <c r="DA239" s="24">
        <f t="shared" ca="1" si="215"/>
        <v>4.108675722976917E-3</v>
      </c>
      <c r="DB239" s="24">
        <f t="shared" ca="1" si="216"/>
        <v>8.0928461210151396E-3</v>
      </c>
      <c r="DC239" s="24">
        <f t="shared" ca="1" si="217"/>
        <v>1.570964247020586E-2</v>
      </c>
      <c r="DD239" s="24">
        <f t="shared" ca="1" si="218"/>
        <v>2.9673769110388843E-2</v>
      </c>
      <c r="DE239" s="24">
        <f t="shared" ca="1" si="219"/>
        <v>5.3412784398699918E-2</v>
      </c>
      <c r="DF239" s="24">
        <f t="shared" ca="1" si="220"/>
        <v>8.9021307331166533E-2</v>
      </c>
      <c r="DG239" s="24">
        <f t="shared" ca="1" si="221"/>
        <v>0.1335319609967498</v>
      </c>
      <c r="DI239" s="19" cm="1">
        <f t="array" aca="1" ref="DI239" ca="1">MAX(_xlfn._xlws.FILTER(CT239:DG239,CT239:DG239&lt;BP239))</f>
        <v>2.9673769110388843E-2</v>
      </c>
      <c r="DJ239" s="19" cm="1">
        <f t="array" aca="1" ref="DJ239" ca="1">MIN(_xlfn._xlws.FILTER(CT239:DG239,CT239:DG239&gt;BP239))</f>
        <v>5.3412784398699918E-2</v>
      </c>
      <c r="DK239" s="2" cm="1">
        <f t="array" aca="1" ref="DK239" ca="1">_FV(EH239,"Fechamento anterior",TRUE)</f>
        <v>5.92</v>
      </c>
      <c r="DL239" s="36">
        <f ca="1">(BJ239-DM239)/(DN239-DM239)</f>
        <v>0.52891665752974215</v>
      </c>
      <c r="DM239" s="18">
        <f t="shared" ca="1" si="222"/>
        <v>6.0956687131335014</v>
      </c>
      <c r="DN239" s="18">
        <f t="shared" ca="1" si="223"/>
        <v>6.2362036836403032</v>
      </c>
      <c r="DO239" s="9"/>
      <c r="DP239" s="9"/>
      <c r="DQ239" s="94">
        <v>8.72829187728341E-3</v>
      </c>
      <c r="DR239" s="94">
        <v>8.72829187728341E-3</v>
      </c>
      <c r="DS239" s="94">
        <v>1.3200135079102506E-2</v>
      </c>
      <c r="DT239" s="94">
        <f t="shared" ca="1" si="200"/>
        <v>2.3739015288311075E-2</v>
      </c>
      <c r="DU239" s="87">
        <f ca="1">(BJ239-CF239)/(CF239-CE239)</f>
        <v>2.1412135161252883</v>
      </c>
      <c r="DV239" s="46"/>
      <c r="DW239" s="43">
        <f>_xlfn.STDEV.P(BF239:BI239)</f>
        <v>6.5383484153110155E-2</v>
      </c>
      <c r="DX239" s="76">
        <f ca="1">BO239-$DT$2</f>
        <v>0.62559999999999993</v>
      </c>
      <c r="DY239" s="76">
        <f ca="1">BO239-BP239*100</f>
        <v>-2.6002999999999998</v>
      </c>
      <c r="DZ239" s="101"/>
      <c r="EA239" s="100">
        <v>1.3139000000000001</v>
      </c>
      <c r="EB239" s="107">
        <v>-0.60060000000000002</v>
      </c>
      <c r="EC239" s="107">
        <v>-1.1523999999999999</v>
      </c>
      <c r="ED239" s="98">
        <f t="shared" ca="1" si="196"/>
        <v>3.2258999999999998</v>
      </c>
      <c r="EE239" s="66"/>
      <c r="EF239" s="66"/>
      <c r="EH239" s="2" t="e" vm="241">
        <v>#VALUE!</v>
      </c>
      <c r="EJ239" s="10" cm="1">
        <f t="array" aca="1" ref="EJ239" ca="1">_FV(EH239,"Ações em circulação",TRUE)</f>
        <v>562826700</v>
      </c>
      <c r="EK239" s="21">
        <f>VLOOKUP(BK239,Fundamentus!A:U,5,FALSE)</f>
        <v>0.34499999999999997</v>
      </c>
      <c r="EL239" s="2">
        <f ca="1">(BJ239*EJ239)/EK239</f>
        <v>10065625330.434784</v>
      </c>
      <c r="EM239" s="20">
        <v>-696325930.47652173</v>
      </c>
      <c r="EN239" s="20">
        <f t="shared" ca="1" si="201"/>
        <v>-725731586.32434785</v>
      </c>
      <c r="EP239" s="19">
        <f t="shared" ca="1" si="197"/>
        <v>4.2229729729729826E-2</v>
      </c>
      <c r="EQ239" s="40" t="str">
        <f>IF(VLOOKUP(BK239,Fundamentus!A:U,3,FALSE)&lt;15,"Bom",IF(VLOOKUP(BK239,Fundamentus!A:U,3,FALSE)&gt;15,"Ruim","n/a"))</f>
        <v>Bom</v>
      </c>
      <c r="ER239" s="36" t="str">
        <f>IF(VLOOKUP(BK239,Fundamentus!A:U,4,FALSE)&lt;1,"Baixo",IF(VLOOKUP(BK239,Fundamentus!A:U,4,FALSE)&lt;1.5,"Moderado",IF(VLOOKUP(BK239,Fundamentus!A:U,4,FALSE)&gt;1.5,"Alto","n/a")))</f>
        <v>Baixo</v>
      </c>
      <c r="ES239" s="20" t="str">
        <f>IF(VLOOKUP(BK239,Fundamentus!A:U,8,FALSE)&lt;0,"Risco elevado",IF(VLOOKUP(BK239,Fundamentus!A:U,8,FALSE)&lt;1,"Saudável",IF(VLOOKUP(BK239,Fundamentus!A:U,8,FALSE)&lt;3,"Estável",IF(VLOOKUP(BK239,Fundamentus!A:U,8,FALSE)&gt;3,"Alerta","n/a"))))</f>
        <v>Saudável</v>
      </c>
      <c r="ET239" s="36" t="str">
        <f t="shared" si="202"/>
        <v>Ruim</v>
      </c>
      <c r="EU239" s="20" t="str">
        <f>IF(VLOOKUP(BK239,Fundamentus!A:U,12,FALSE)&lt;2,"Subvalorizada",IF(VLOOKUP(BK239,Fundamentus!A:U,12,FALSE)&lt;6,"Muita barata",IF(VLOOKUP(BK239,Fundamentus!A:U,12,FALSE)&lt;6,"Barata",IF(VLOOKUP(BK239,Fundamentus!A:U,12,FALSE)&lt;8,"Atrativa",IF(VLOOKUP(BK239,Fundamentus!A:U,12,FALSE)&gt;8,"Supervalorizada","n/a")))))</f>
        <v>Supervalorizada</v>
      </c>
      <c r="EW239" s="20" t="str">
        <f>IF(VLOOKUP(BK239,Fundamentus!A:U,17,FALSE)&lt;0.1,"Fraco retorno",IF(VLOOKUP(BK239,Fundamentus!A:U,17,FALSE)&gt;0.1,"Bom retorno","n/a"))</f>
        <v>Fraco retorno</v>
      </c>
      <c r="EX239" s="20" t="str">
        <f>IF(VLOOKUP(BK239,Fundamentus!A:U,16,FALSE)&lt;0.1,"Ineficiente",IF(VLOOKUP(BK239,Fundamentus!A:U,16,FALSE)&gt;0.1,"Eficiente","n/a"))</f>
        <v>Ineficiente</v>
      </c>
      <c r="EY239" s="41" t="str">
        <f>IF(VLOOKUP(BK239,Fundamentus!A:U,16,FALSE)&lt;0.1,"Oper. Ineficiente",IF(VLOOKUP(BK239,Fundamentus!A:U,16,FALSE)&gt;0.1,"Oper.Eficiente","n/a"))</f>
        <v>Oper. Ineficiente</v>
      </c>
      <c r="EZ239" s="42">
        <f>VLOOKUP(BK239,Fundamentus!A:U,14,FALSE)</f>
        <v>-7.2099999999999997E-2</v>
      </c>
      <c r="FA239" s="20" t="str">
        <f>IF(VLOOKUP(BK239,Fundamentus!A:U,21,FALSE)&lt;0,"Negativo",IF(VLOOKUP(BK239,Fundamentus!A:U,21,FALSE)&lt;0.05,"Fraco",IF(VLOOKUP(BK239,Fundamentus!A:U,21,FALSE)&lt;0.1,"Bom",IF(VLOOKUP(BK239,Fundamentus!A:U,21,FALSE)&gt;0.1,"Muito bom","n/a"))))</f>
        <v>Bom</v>
      </c>
      <c r="FC239" s="37" t="str">
        <f>IF(VLOOKUP(BK239,Fundamentus!A:U,15,FALSE)&gt;1,"Bom",IF(VLOOKUP(BK239,Fundamentus!A:U,15,FALSE)&lt;1,"Ruim","n/a"))</f>
        <v>Bom</v>
      </c>
      <c r="FD239" s="20" t="str">
        <f>IF(VLOOKUP(BK239,Fundamentus!A:U,20,FALSE)&lt;0.5,"Baixa",IF(VLOOKUP(BK239,Fundamentus!A:U,20,FALSE)&lt;1,"Moderada",IF(VLOOKUP(BK239,Fundamentus!A:U,20,FALSE)&lt;2,"Alerta",IF(VLOOKUP(BK239,Fundamentus!A:U,20,FALSE)&gt;2,"Alta","n/a"))))</f>
        <v>Alerta</v>
      </c>
    </row>
    <row r="240" spans="1:160" s="2" customFormat="1" ht="11.25" hidden="1"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8">
        <v>7.68</v>
      </c>
      <c r="BC240" s="62">
        <v>6.86</v>
      </c>
      <c r="BD240" s="62">
        <v>6.62</v>
      </c>
      <c r="BE240" s="62">
        <v>6.95</v>
      </c>
      <c r="BF240" s="62">
        <v>6.59</v>
      </c>
      <c r="BG240" s="81">
        <v>7.72</v>
      </c>
      <c r="BH240" s="62">
        <v>8.27</v>
      </c>
      <c r="BI240" s="62">
        <v>7.11</v>
      </c>
      <c r="BJ240" s="62" cm="1">
        <f t="array" aca="1" ref="BJ240" ca="1">_FV(EH240,"Preço")</f>
        <v>7.06</v>
      </c>
      <c r="BK240" s="83" t="s">
        <v>236</v>
      </c>
      <c r="BL240" s="44" cm="1">
        <f t="array" aca="1" ref="BL240" ca="1">_FV(EH240,"Média de volume",TRUE)</f>
        <v>8649020</v>
      </c>
      <c r="BM240" s="44">
        <v>12676700</v>
      </c>
      <c r="BN240" s="44" cm="1">
        <f t="array" aca="1" ref="BN240" ca="1">_FV(EH240,"Volume")</f>
        <v>4792100</v>
      </c>
      <c r="BO240" s="32" cm="1">
        <f t="array" aca="1" ref="BO240" ca="1">_FV(EH240,"Beta")</f>
        <v>1.5510999999999999</v>
      </c>
      <c r="BP240" s="86" cm="1">
        <f t="array" aca="1" ref="BP240" ca="1">_FV(EH240,"Variação (%)",TRUE)</f>
        <v>-7.0320000000000001E-3</v>
      </c>
      <c r="BQ240" s="48"/>
      <c r="BR240" s="48"/>
      <c r="BT240" s="20" cm="1">
        <f t="array" aca="1" ref="BT240" ca="1">_FV(EH240,"Baixo")</f>
        <v>6.88</v>
      </c>
      <c r="BU240" s="20" cm="1">
        <f t="array" aca="1" ref="BU240" ca="1">_FV(EH240,"Alto")</f>
        <v>7.24</v>
      </c>
      <c r="BV240" s="32"/>
      <c r="BW240" s="73">
        <f ca="1">SQRT(22.5*(BJ240/VLOOKUP(BK240,Fundamentus!A:U,3,FALSE))*(BJ240/VLOOKUP(BK240,Fundamentus!A:U,4,FALSE)))</f>
        <v>10.291550049323968</v>
      </c>
      <c r="BY240" s="72">
        <f t="shared" ca="1" si="198"/>
        <v>-7.0323488045008027E-3</v>
      </c>
      <c r="BZ240" s="8"/>
      <c r="CA240" s="71">
        <f t="shared" si="205"/>
        <v>3.34</v>
      </c>
      <c r="CB240" s="71">
        <f t="shared" si="199"/>
        <v>8.27</v>
      </c>
      <c r="CC240" s="71">
        <f t="shared" si="206"/>
        <v>5.8782786885245901</v>
      </c>
      <c r="CD240" s="17"/>
      <c r="CE240" s="43">
        <f t="shared" si="203"/>
        <v>6.6860874239092087</v>
      </c>
      <c r="CF240" s="18">
        <f>FORECAST("04/07/2025", BF240:BI240, $BF$5:$BI$5)</f>
        <v>7.9499999999998181</v>
      </c>
      <c r="CG240" s="43">
        <f t="shared" si="204"/>
        <v>9.2139125760904275</v>
      </c>
      <c r="CI240" s="17"/>
      <c r="CJ240" s="20">
        <f>CA240-2*(CB240-CM240)</f>
        <v>-0.72000000000000064</v>
      </c>
      <c r="CK240" s="20">
        <f>CM240-(CB240-CA240)</f>
        <v>1.3099999999999996</v>
      </c>
      <c r="CL240" s="20">
        <f>2*CM240-CB240</f>
        <v>4.2099999999999991</v>
      </c>
      <c r="CM240" s="48">
        <f>(CB240+CA240+BI240)/3</f>
        <v>6.2399999999999993</v>
      </c>
      <c r="CN240" s="20">
        <f>2*CM240-CA240</f>
        <v>9.1399999999999988</v>
      </c>
      <c r="CO240" s="20">
        <f>CM240+(CB240-CA240)</f>
        <v>11.169999999999998</v>
      </c>
      <c r="CP240" s="20">
        <f>CB240+2*(CM240-CA240)</f>
        <v>14.069999999999999</v>
      </c>
      <c r="CQ240" s="2" cm="1">
        <f t="array" aca="1" ref="CQ240" ca="1">MAX(_xlfn._xlws.FILTER(CJ240:CP240,CJ240:CP240&lt;BJ240))</f>
        <v>6.2399999999999993</v>
      </c>
      <c r="CR240" s="2" cm="1">
        <f t="array" aca="1" ref="CR240" ca="1">MIN(_xlfn._xlws.FILTER($CJ240:$CP240,$CJ240:$CP240&gt;BJ240))</f>
        <v>9.1399999999999988</v>
      </c>
      <c r="CS240" s="19">
        <f t="shared" ca="1" si="207"/>
        <v>0.46474358974358965</v>
      </c>
      <c r="CT240" s="23">
        <f t="shared" ca="1" si="208"/>
        <v>-0.23237179487179482</v>
      </c>
      <c r="CU240" s="23">
        <f t="shared" ca="1" si="209"/>
        <v>-0.15491452991452989</v>
      </c>
      <c r="CV240" s="23">
        <f t="shared" ca="1" si="210"/>
        <v>-9.2948717948717924E-2</v>
      </c>
      <c r="CW240" s="23">
        <f t="shared" ca="1" si="211"/>
        <v>-5.1638176638176631E-2</v>
      </c>
      <c r="CX240" s="23">
        <f t="shared" ca="1" si="212"/>
        <v>-2.7337858220211154E-2</v>
      </c>
      <c r="CY240" s="23">
        <f t="shared" ca="1" si="213"/>
        <v>-1.408313908313908E-2</v>
      </c>
      <c r="CZ240" s="23">
        <f t="shared" ca="1" si="214"/>
        <v>-7.1499013806706098E-3</v>
      </c>
      <c r="DA240" s="24">
        <f t="shared" ca="1" si="215"/>
        <v>7.1499013806706098E-3</v>
      </c>
      <c r="DB240" s="24">
        <f t="shared" ca="1" si="216"/>
        <v>1.408313908313908E-2</v>
      </c>
      <c r="DC240" s="24">
        <f t="shared" ca="1" si="217"/>
        <v>2.7337858220211154E-2</v>
      </c>
      <c r="DD240" s="24">
        <f t="shared" ca="1" si="218"/>
        <v>5.1638176638176631E-2</v>
      </c>
      <c r="DE240" s="24">
        <f t="shared" ca="1" si="219"/>
        <v>9.2948717948717924E-2</v>
      </c>
      <c r="DF240" s="24">
        <f t="shared" ca="1" si="220"/>
        <v>0.15491452991452989</v>
      </c>
      <c r="DG240" s="24">
        <f t="shared" ca="1" si="221"/>
        <v>0.23237179487179482</v>
      </c>
      <c r="DI240" s="19" cm="1">
        <f t="array" aca="1" ref="DI240" ca="1">MAX(_xlfn._xlws.FILTER(CT240:DG240,CT240:DG240&lt;BP240))</f>
        <v>-7.1499013806706098E-3</v>
      </c>
      <c r="DJ240" s="19" cm="1">
        <f t="array" aca="1" ref="DJ240" ca="1">MIN(_xlfn._xlws.FILTER(CT240:DG240,CT240:DG240&gt;BP240))</f>
        <v>7.1499013806706098E-3</v>
      </c>
      <c r="DK240" s="2" cm="1">
        <f t="array" aca="1" ref="DK240" ca="1">_FV(EH240,"Fechamento anterior",TRUE)</f>
        <v>7.11</v>
      </c>
      <c r="DL240" s="36">
        <f ca="1">(BJ240-DM240)/(DN240-DM240)</f>
        <v>8.2205732576650509E-3</v>
      </c>
      <c r="DM240" s="18">
        <f t="shared" ca="1" si="222"/>
        <v>7.0591642011834326</v>
      </c>
      <c r="DN240" s="18">
        <f t="shared" ca="1" si="223"/>
        <v>7.1608357988165681</v>
      </c>
      <c r="DO240" s="9"/>
      <c r="DP240" s="9"/>
      <c r="DQ240" s="94">
        <v>6.8989665556189149E-3</v>
      </c>
      <c r="DR240" s="94">
        <v>1.3189200768094985E-2</v>
      </c>
      <c r="DS240" s="94">
        <v>2.4389734594583302E-2</v>
      </c>
      <c r="DT240" s="94">
        <f t="shared" ca="1" si="200"/>
        <v>1.429980276134122E-2</v>
      </c>
      <c r="DU240" s="87">
        <f ca="1">(BJ240-CF240)/(CF240-CE240)</f>
        <v>-0.70416262709614397</v>
      </c>
      <c r="DV240" s="46"/>
      <c r="DW240" s="43">
        <f>_xlfn.STDEV.P(BF240:BI240)</f>
        <v>0.63195628804530446</v>
      </c>
      <c r="DX240" s="76">
        <f ca="1">BO240-$DT$2</f>
        <v>0.55399999999999983</v>
      </c>
      <c r="DY240" s="76">
        <f ca="1">BO240-BP240*100</f>
        <v>2.2542999999999997</v>
      </c>
      <c r="DZ240" s="101"/>
      <c r="EA240" s="100">
        <v>2.3948999999999998</v>
      </c>
      <c r="EB240" s="107">
        <v>1.1211</v>
      </c>
      <c r="EC240" s="107">
        <v>-5.0190999999999999</v>
      </c>
      <c r="ED240" s="98">
        <f t="shared" ca="1" si="196"/>
        <v>-1.7002999999999999</v>
      </c>
      <c r="EE240" s="66"/>
      <c r="EF240" s="66"/>
      <c r="EH240" s="2" t="e" vm="242">
        <v>#VALUE!</v>
      </c>
      <c r="EJ240" s="10" cm="1">
        <f t="array" aca="1" ref="EJ240" ca="1">_FV(EH240,"Ações em circulação",TRUE)</f>
        <v>347931500</v>
      </c>
      <c r="EK240" s="21">
        <f>VLOOKUP(BK240,Fundamentus!A:U,5,FALSE)</f>
        <v>0.191</v>
      </c>
      <c r="EL240" s="2">
        <f ca="1">(BJ240*EJ240)/EK240</f>
        <v>12860714083.769634</v>
      </c>
      <c r="EM240" s="20">
        <v>240903398.68586385</v>
      </c>
      <c r="EN240" s="20">
        <f t="shared" ca="1" si="201"/>
        <v>239209281.95811519</v>
      </c>
      <c r="EP240" s="19">
        <f t="shared" ca="1" si="197"/>
        <v>-7.0323488045005433E-3</v>
      </c>
      <c r="EQ240" s="40" t="str">
        <f>IF(VLOOKUP(BK240,Fundamentus!A:U,3,FALSE)&lt;15,"Bom",IF(VLOOKUP(BK240,Fundamentus!A:U,3,FALSE)&gt;15,"Ruim","n/a"))</f>
        <v>Bom</v>
      </c>
      <c r="ER240" s="36" t="str">
        <f>IF(VLOOKUP(BK240,Fundamentus!A:U,4,FALSE)&lt;1,"Baixo",IF(VLOOKUP(BK240,Fundamentus!A:U,4,FALSE)&lt;1.5,"Moderado",IF(VLOOKUP(BK240,Fundamentus!A:U,4,FALSE)&gt;1.5,"Alto","n/a")))</f>
        <v>Moderado</v>
      </c>
      <c r="ES240" s="20" t="str">
        <f>IF(VLOOKUP(BK240,Fundamentus!A:U,8,FALSE)&lt;0,"Risco elevado",IF(VLOOKUP(BK240,Fundamentus!A:U,8,FALSE)&lt;1,"Saudável",IF(VLOOKUP(BK240,Fundamentus!A:U,8,FALSE)&lt;3,"Estável",IF(VLOOKUP(BK240,Fundamentus!A:U,8,FALSE)&gt;3,"Alerta","n/a"))))</f>
        <v>Risco elevado</v>
      </c>
      <c r="ET240" s="36" t="str">
        <f t="shared" si="202"/>
        <v>Ruim</v>
      </c>
      <c r="EU240" s="20" t="str">
        <f>IF(VLOOKUP(BK240,Fundamentus!A:U,12,FALSE)&lt;2,"Subvalorizada",IF(VLOOKUP(BK240,Fundamentus!A:U,12,FALSE)&lt;6,"Muita barata",IF(VLOOKUP(BK240,Fundamentus!A:U,12,FALSE)&lt;6,"Barata",IF(VLOOKUP(BK240,Fundamentus!A:U,12,FALSE)&lt;8,"Atrativa",IF(VLOOKUP(BK240,Fundamentus!A:U,12,FALSE)&gt;8,"Supervalorizada","n/a")))))</f>
        <v>Muita barata</v>
      </c>
      <c r="EW240" s="20" t="str">
        <f>IF(VLOOKUP(BK240,Fundamentus!A:U,17,FALSE)&lt;0.1,"Fraco retorno",IF(VLOOKUP(BK240,Fundamentus!A:U,17,FALSE)&gt;0.1,"Bom retorno","n/a"))</f>
        <v>Bom retorno</v>
      </c>
      <c r="EX240" s="20" t="str">
        <f>IF(VLOOKUP(BK240,Fundamentus!A:U,16,FALSE)&lt;0.1,"Ineficiente",IF(VLOOKUP(BK240,Fundamentus!A:U,16,FALSE)&gt;0.1,"Eficiente","n/a"))</f>
        <v>Eficiente</v>
      </c>
      <c r="EY240" s="41" t="str">
        <f>IF(VLOOKUP(BK240,Fundamentus!A:U,16,FALSE)&lt;0.1,"Oper. Ineficiente",IF(VLOOKUP(BK240,Fundamentus!A:U,16,FALSE)&gt;0.1,"Oper.Eficiente","n/a"))</f>
        <v>Oper.Eficiente</v>
      </c>
      <c r="EZ240" s="42">
        <f>VLOOKUP(BK240,Fundamentus!A:U,14,FALSE)</f>
        <v>1.8599999999999998E-2</v>
      </c>
      <c r="FA240" s="20" t="str">
        <f>IF(VLOOKUP(BK240,Fundamentus!A:U,21,FALSE)&lt;0,"Negativo",IF(VLOOKUP(BK240,Fundamentus!A:U,21,FALSE)&lt;0.05,"Fraco",IF(VLOOKUP(BK240,Fundamentus!A:U,21,FALSE)&lt;0.1,"Bom",IF(VLOOKUP(BK240,Fundamentus!A:U,21,FALSE)&gt;0.1,"Muito bom","n/a"))))</f>
        <v>Muito bom</v>
      </c>
      <c r="FC240" s="37" t="str">
        <f>IF(VLOOKUP(BK240,Fundamentus!A:U,15,FALSE)&gt;1,"Bom",IF(VLOOKUP(BK240,Fundamentus!A:U,15,FALSE)&lt;1,"Ruim","n/a"))</f>
        <v>Ruim</v>
      </c>
      <c r="FD240" s="20" t="str">
        <f>IF(VLOOKUP(BK240,Fundamentus!A:U,20,FALSE)&lt;0.5,"Baixa",IF(VLOOKUP(BK240,Fundamentus!A:U,20,FALSE)&lt;1,"Moderada",IF(VLOOKUP(BK240,Fundamentus!A:U,20,FALSE)&lt;2,"Alerta",IF(VLOOKUP(BK240,Fundamentus!A:U,20,FALSE)&gt;2,"Alta","n/a"))))</f>
        <v>Alta</v>
      </c>
    </row>
    <row r="241" spans="1:160" s="2" customFormat="1" ht="11.25" hidden="1"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8">
        <v>0.95</v>
      </c>
      <c r="BC241" s="62">
        <v>0.92</v>
      </c>
      <c r="BD241" s="62">
        <v>0.76</v>
      </c>
      <c r="BE241" s="62">
        <v>0.71</v>
      </c>
      <c r="BF241" s="62">
        <v>0.73</v>
      </c>
      <c r="BG241" s="81">
        <v>0.69</v>
      </c>
      <c r="BH241" s="62">
        <v>0.63</v>
      </c>
      <c r="BI241" s="62">
        <v>0.59</v>
      </c>
      <c r="BJ241" s="62" cm="1">
        <f t="array" aca="1" ref="BJ241" ca="1">_FV(EH241,"Preço")</f>
        <v>0.57999999999999996</v>
      </c>
      <c r="BK241" s="83" t="s">
        <v>237</v>
      </c>
      <c r="BL241" s="44" cm="1">
        <f t="array" aca="1" ref="BL241" ca="1">_FV(EH241,"Média de volume",TRUE)</f>
        <v>1389470</v>
      </c>
      <c r="BM241" s="44">
        <v>617200</v>
      </c>
      <c r="BN241" s="44" cm="1">
        <f t="array" aca="1" ref="BN241" ca="1">_FV(EH241,"Volume")</f>
        <v>894400</v>
      </c>
      <c r="BO241" s="32" cm="1">
        <f t="array" aca="1" ref="BO241" ca="1">_FV(EH241,"Beta")</f>
        <v>1.0164</v>
      </c>
      <c r="BP241" s="86" cm="1">
        <f t="array" aca="1" ref="BP241" ca="1">_FV(EH241,"Variação (%)",TRUE)</f>
        <v>-1.6949000000000002E-2</v>
      </c>
      <c r="BQ241" s="48"/>
      <c r="BR241" s="48"/>
      <c r="BT241" s="20" cm="1">
        <f t="array" aca="1" ref="BT241" ca="1">_FV(EH241,"Baixo")</f>
        <v>0.56999999999999995</v>
      </c>
      <c r="BU241" s="20" cm="1">
        <f t="array" aca="1" ref="BU241" ca="1">_FV(EH241,"Alto")</f>
        <v>0.6</v>
      </c>
      <c r="BV241" s="32"/>
      <c r="BW241" s="73" t="e">
        <f ca="1">SQRT(22.5*(BJ241/VLOOKUP(BK241,Fundamentus!A:U,3,FALSE))*(BJ241/VLOOKUP(BK241,Fundamentus!A:U,4,FALSE)))</f>
        <v>#NUM!</v>
      </c>
      <c r="BY241" s="72">
        <f t="shared" ca="1" si="198"/>
        <v>-1.6949152542372899E-2</v>
      </c>
      <c r="BZ241" s="8"/>
      <c r="CA241" s="71">
        <f t="shared" si="205"/>
        <v>0.59</v>
      </c>
      <c r="CB241" s="71">
        <f t="shared" si="199"/>
        <v>1.7</v>
      </c>
      <c r="CC241" s="71">
        <f t="shared" si="206"/>
        <v>1.1384426229508198</v>
      </c>
      <c r="CD241" s="17"/>
      <c r="CE241" s="43">
        <f t="shared" si="203"/>
        <v>0.43229670385733038</v>
      </c>
      <c r="CF241" s="18">
        <f>FORECAST("04/07/2025", BF241:BI241, $BF$5:$BI$5)</f>
        <v>0.54000000000002046</v>
      </c>
      <c r="CG241" s="43">
        <f t="shared" si="204"/>
        <v>0.64770329614271049</v>
      </c>
      <c r="CI241" s="17"/>
      <c r="CJ241" s="20">
        <f>CA241-2*(CB241-CM241)</f>
        <v>-0.89</v>
      </c>
      <c r="CK241" s="20">
        <f>CM241-(CB241-CA241)</f>
        <v>-0.14999999999999991</v>
      </c>
      <c r="CL241" s="20">
        <f>2*CM241-CB241</f>
        <v>0.21999999999999997</v>
      </c>
      <c r="CM241" s="48">
        <f>(CB241+CA241+BI241)/3</f>
        <v>0.96</v>
      </c>
      <c r="CN241" s="20">
        <f>2*CM241-CA241</f>
        <v>1.33</v>
      </c>
      <c r="CO241" s="20">
        <f>CM241+(CB241-CA241)</f>
        <v>2.0699999999999998</v>
      </c>
      <c r="CP241" s="20">
        <f>CB241+2*(CM241-CA241)</f>
        <v>2.44</v>
      </c>
      <c r="CQ241" s="2" cm="1">
        <f t="array" aca="1" ref="CQ241" ca="1">MAX(_xlfn._xlws.FILTER(CJ241:CP241,CJ241:CP241&lt;BJ241))</f>
        <v>0.21999999999999997</v>
      </c>
      <c r="CR241" s="2" cm="1">
        <f t="array" aca="1" ref="CR241" ca="1">MIN(_xlfn._xlws.FILTER($CJ241:$CP241,$CJ241:$CP241&gt;BJ241))</f>
        <v>0.96</v>
      </c>
      <c r="CS241" s="19">
        <f t="shared" ca="1" si="207"/>
        <v>3.3636363636363642</v>
      </c>
      <c r="CT241" s="23">
        <f t="shared" ca="1" si="208"/>
        <v>-1.6818181818181821</v>
      </c>
      <c r="CU241" s="23">
        <f t="shared" ca="1" si="209"/>
        <v>-1.1212121212121213</v>
      </c>
      <c r="CV241" s="23">
        <f t="shared" ca="1" si="210"/>
        <v>-0.67272727272727284</v>
      </c>
      <c r="CW241" s="23">
        <f t="shared" ca="1" si="211"/>
        <v>-0.37373737373737381</v>
      </c>
      <c r="CX241" s="23">
        <f t="shared" ca="1" si="212"/>
        <v>-0.19786096256684496</v>
      </c>
      <c r="CY241" s="23">
        <f t="shared" ca="1" si="213"/>
        <v>-0.1019283746556474</v>
      </c>
      <c r="CZ241" s="23">
        <f t="shared" ca="1" si="214"/>
        <v>-5.1748251748251754E-2</v>
      </c>
      <c r="DA241" s="24">
        <f t="shared" ca="1" si="215"/>
        <v>5.1748251748251754E-2</v>
      </c>
      <c r="DB241" s="24">
        <f t="shared" ca="1" si="216"/>
        <v>0.1019283746556474</v>
      </c>
      <c r="DC241" s="24">
        <f t="shared" ca="1" si="217"/>
        <v>0.19786096256684496</v>
      </c>
      <c r="DD241" s="24">
        <f t="shared" ca="1" si="218"/>
        <v>0.37373737373737381</v>
      </c>
      <c r="DE241" s="24">
        <f t="shared" ca="1" si="219"/>
        <v>0.67272727272727284</v>
      </c>
      <c r="DF241" s="24">
        <f t="shared" ca="1" si="220"/>
        <v>1.1212121212121213</v>
      </c>
      <c r="DG241" s="24">
        <f t="shared" ca="1" si="221"/>
        <v>1.6818181818181821</v>
      </c>
      <c r="DI241" s="19" cm="1">
        <f t="array" aca="1" ref="DI241" ca="1">MAX(_xlfn._xlws.FILTER(CT241:DG241,CT241:DG241&lt;BP241))</f>
        <v>-5.1748251748251754E-2</v>
      </c>
      <c r="DJ241" s="19" cm="1">
        <f t="array" aca="1" ref="DJ241" ca="1">MIN(_xlfn._xlws.FILTER(CT241:DG241,CT241:DG241&gt;BP241))</f>
        <v>5.1748251748251754E-2</v>
      </c>
      <c r="DK241" s="2" cm="1">
        <f t="array" aca="1" ref="DK241" ca="1">_FV(EH241,"Fechamento anterior",TRUE)</f>
        <v>0.59</v>
      </c>
      <c r="DL241" s="36">
        <f ca="1">(BJ241-DM241)/(DN241-DM241)</f>
        <v>0.33623453962436972</v>
      </c>
      <c r="DM241" s="18">
        <f t="shared" ca="1" si="222"/>
        <v>0.55946853146853148</v>
      </c>
      <c r="DN241" s="18">
        <f t="shared" ca="1" si="223"/>
        <v>0.62053146853146846</v>
      </c>
      <c r="DO241" s="9"/>
      <c r="DP241" s="9"/>
      <c r="DQ241" s="94">
        <v>5.9487179487179478E-2</v>
      </c>
      <c r="DR241" s="94">
        <v>2.8842268842268842E-2</v>
      </c>
      <c r="DS241" s="94">
        <v>5.8635703918722797E-2</v>
      </c>
      <c r="DT241" s="94">
        <f t="shared" ca="1" si="200"/>
        <v>0.10349650349650351</v>
      </c>
      <c r="DU241" s="87">
        <f ca="1">(BJ241-CF241)/(CF241-CE241)</f>
        <v>0.37139067635391332</v>
      </c>
      <c r="DV241" s="46"/>
      <c r="DW241" s="43">
        <f>_xlfn.STDEV.P(BF241:BI241)</f>
        <v>5.3851648071345036E-2</v>
      </c>
      <c r="DX241" s="76">
        <f ca="1">BO241-$DT$2</f>
        <v>1.9299999999999873E-2</v>
      </c>
      <c r="DY241" s="76">
        <f ca="1">BO241-BP241*100</f>
        <v>2.7113000000000005</v>
      </c>
      <c r="DZ241" s="101"/>
      <c r="EA241" s="100">
        <v>-3.9870000000000001</v>
      </c>
      <c r="EB241" s="107">
        <v>-4.7282000000000002</v>
      </c>
      <c r="EC241" s="107">
        <v>1.905</v>
      </c>
      <c r="ED241" s="98">
        <f t="shared" ca="1" si="196"/>
        <v>-2.6920000000000006</v>
      </c>
      <c r="EE241" s="66"/>
      <c r="EF241" s="66"/>
      <c r="EH241" s="2" t="e" vm="243">
        <v>#VALUE!</v>
      </c>
      <c r="EJ241" s="10" cm="1">
        <f t="array" aca="1" ref="EJ241" ca="1">_FV(EH241,"Ações em circulação",TRUE)</f>
        <v>592753700</v>
      </c>
      <c r="EK241" s="21">
        <f>VLOOKUP(BK241,Fundamentus!A:U,5,FALSE)</f>
        <v>2.661</v>
      </c>
      <c r="EL241" s="2">
        <f ca="1">(BJ241*EJ241)/EK241</f>
        <v>129198476.51258925</v>
      </c>
      <c r="EM241" s="20">
        <v>-225014517.0102593</v>
      </c>
      <c r="EN241" s="20">
        <f t="shared" ca="1" si="201"/>
        <v>-221200711.63720405</v>
      </c>
      <c r="EP241" s="19">
        <f t="shared" ca="1" si="197"/>
        <v>-1.6949152542372947E-2</v>
      </c>
      <c r="EQ241" s="40" t="str">
        <f>IF(VLOOKUP(BK241,Fundamentus!A:U,3,FALSE)&lt;15,"Bom",IF(VLOOKUP(BK241,Fundamentus!A:U,3,FALSE)&gt;15,"Ruim","n/a"))</f>
        <v>Bom</v>
      </c>
      <c r="ER241" s="36" t="str">
        <f>IF(VLOOKUP(BK241,Fundamentus!A:U,4,FALSE)&lt;1,"Baixo",IF(VLOOKUP(BK241,Fundamentus!A:U,4,FALSE)&lt;1.5,"Moderado",IF(VLOOKUP(BK241,Fundamentus!A:U,4,FALSE)&gt;1.5,"Alto","n/a")))</f>
        <v>Baixo</v>
      </c>
      <c r="ES241" s="20" t="str">
        <f>IF(VLOOKUP(BK241,Fundamentus!A:U,8,FALSE)&lt;0,"Risco elevado",IF(VLOOKUP(BK241,Fundamentus!A:U,8,FALSE)&lt;1,"Saudável",IF(VLOOKUP(BK241,Fundamentus!A:U,8,FALSE)&lt;3,"Estável",IF(VLOOKUP(BK241,Fundamentus!A:U,8,FALSE)&gt;3,"Alerta","n/a"))))</f>
        <v>Risco elevado</v>
      </c>
      <c r="ET241" s="36" t="str">
        <f t="shared" si="202"/>
        <v>Bom</v>
      </c>
      <c r="EU241" s="20" t="str">
        <f>IF(VLOOKUP(BK241,Fundamentus!A:U,12,FALSE)&lt;2,"Subvalorizada",IF(VLOOKUP(BK241,Fundamentus!A:U,12,FALSE)&lt;6,"Muita barata",IF(VLOOKUP(BK241,Fundamentus!A:U,12,FALSE)&lt;6,"Barata",IF(VLOOKUP(BK241,Fundamentus!A:U,12,FALSE)&lt;8,"Atrativa",IF(VLOOKUP(BK241,Fundamentus!A:U,12,FALSE)&gt;8,"Supervalorizada","n/a")))))</f>
        <v>Subvalorizada</v>
      </c>
      <c r="EW241" s="20" t="str">
        <f>IF(VLOOKUP(BK241,Fundamentus!A:U,17,FALSE)&lt;0.1,"Fraco retorno",IF(VLOOKUP(BK241,Fundamentus!A:U,17,FALSE)&gt;0.1,"Bom retorno","n/a"))</f>
        <v>Fraco retorno</v>
      </c>
      <c r="EX241" s="20" t="str">
        <f>IF(VLOOKUP(BK241,Fundamentus!A:U,16,FALSE)&lt;0.1,"Ineficiente",IF(VLOOKUP(BK241,Fundamentus!A:U,16,FALSE)&gt;0.1,"Eficiente","n/a"))</f>
        <v>Ineficiente</v>
      </c>
      <c r="EY241" s="41" t="str">
        <f>IF(VLOOKUP(BK241,Fundamentus!A:U,16,FALSE)&lt;0.1,"Oper. Ineficiente",IF(VLOOKUP(BK241,Fundamentus!A:U,16,FALSE)&gt;0.1,"Oper.Eficiente","n/a"))</f>
        <v>Oper. Ineficiente</v>
      </c>
      <c r="EZ241" s="42">
        <f>VLOOKUP(BK241,Fundamentus!A:U,14,FALSE)</f>
        <v>-1.7121</v>
      </c>
      <c r="FA241" s="20" t="str">
        <f>IF(VLOOKUP(BK241,Fundamentus!A:U,21,FALSE)&lt;0,"Negativo",IF(VLOOKUP(BK241,Fundamentus!A:U,21,FALSE)&lt;0.05,"Fraco",IF(VLOOKUP(BK241,Fundamentus!A:U,21,FALSE)&lt;0.1,"Bom",IF(VLOOKUP(BK241,Fundamentus!A:U,21,FALSE)&gt;0.1,"Muito bom","n/a"))))</f>
        <v>Muito bom</v>
      </c>
      <c r="FC241" s="37" t="str">
        <f>IF(VLOOKUP(BK241,Fundamentus!A:U,15,FALSE)&gt;1,"Bom",IF(VLOOKUP(BK241,Fundamentus!A:U,15,FALSE)&lt;1,"Ruim","n/a"))</f>
        <v>Ruim</v>
      </c>
      <c r="FD241" s="20" t="str">
        <f>IF(VLOOKUP(BK241,Fundamentus!A:U,20,FALSE)&lt;0.5,"Baixa",IF(VLOOKUP(BK241,Fundamentus!A:U,20,FALSE)&lt;1,"Moderada",IF(VLOOKUP(BK241,Fundamentus!A:U,20,FALSE)&lt;2,"Alerta",IF(VLOOKUP(BK241,Fundamentus!A:U,20,FALSE)&gt;2,"Alta","n/a"))))</f>
        <v>Baixa</v>
      </c>
    </row>
    <row r="242" spans="1:160" s="2" customFormat="1" ht="11.25" hidden="1"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8">
        <v>9.6300000000000008</v>
      </c>
      <c r="BC242" s="62">
        <v>9.27</v>
      </c>
      <c r="BD242" s="62">
        <v>8.84</v>
      </c>
      <c r="BE242" s="62">
        <v>8.25</v>
      </c>
      <c r="BF242" s="62">
        <v>8.23</v>
      </c>
      <c r="BG242" s="81">
        <v>7.94</v>
      </c>
      <c r="BH242" s="62">
        <v>7.87</v>
      </c>
      <c r="BI242" s="62">
        <v>7.5</v>
      </c>
      <c r="BJ242" s="62" cm="1">
        <f t="array" aca="1" ref="BJ242" ca="1">_FV(EH242,"Preço")</f>
        <v>7.5</v>
      </c>
      <c r="BK242" s="83" t="s">
        <v>238</v>
      </c>
      <c r="BL242" s="44" cm="1">
        <f t="array" aca="1" ref="BL242" ca="1">_FV(EH242,"Média de volume",TRUE)</f>
        <v>9015690</v>
      </c>
      <c r="BM242" s="44">
        <v>4905900</v>
      </c>
      <c r="BN242" s="44" cm="1">
        <f t="array" aca="1" ref="BN242" ca="1">_FV(EH242,"Volume")</f>
        <v>2595100</v>
      </c>
      <c r="BO242" s="32" cm="1">
        <f t="array" aca="1" ref="BO242" ca="1">_FV(EH242,"Beta")</f>
        <v>1.4514</v>
      </c>
      <c r="BP242" s="86" cm="1">
        <f t="array" aca="1" ref="BP242" ca="1">_FV(EH242,"Variação (%)",TRUE)</f>
        <v>0</v>
      </c>
      <c r="BQ242" s="48"/>
      <c r="BR242" s="48"/>
      <c r="BT242" s="20" cm="1">
        <f t="array" aca="1" ref="BT242" ca="1">_FV(EH242,"Baixo")</f>
        <v>7.39</v>
      </c>
      <c r="BU242" s="20" cm="1">
        <f t="array" aca="1" ref="BU242" ca="1">_FV(EH242,"Alto")</f>
        <v>7.52</v>
      </c>
      <c r="BV242" s="32"/>
      <c r="BW242" s="73" t="e">
        <f ca="1">SQRT(22.5*(BJ242/VLOOKUP(BK242,Fundamentus!A:U,3,FALSE))*(BJ242/VLOOKUP(BK242,Fundamentus!A:U,4,FALSE)))</f>
        <v>#NUM!</v>
      </c>
      <c r="BY242" s="72">
        <f t="shared" ca="1" si="198"/>
        <v>0</v>
      </c>
      <c r="BZ242" s="8"/>
      <c r="CA242" s="71">
        <f t="shared" si="205"/>
        <v>7.5</v>
      </c>
      <c r="CB242" s="71">
        <f t="shared" si="199"/>
        <v>14.25</v>
      </c>
      <c r="CC242" s="71">
        <f t="shared" si="206"/>
        <v>10.586475409836064</v>
      </c>
      <c r="CD242" s="17"/>
      <c r="CE242" s="43">
        <f t="shared" si="203"/>
        <v>6.7999038550421025</v>
      </c>
      <c r="CF242" s="18">
        <f>FORECAST("04/07/2025", BF242:BI242, $BF$5:$BI$5)</f>
        <v>7.3199999999999363</v>
      </c>
      <c r="CG242" s="43">
        <f t="shared" si="204"/>
        <v>7.8400961449577702</v>
      </c>
      <c r="CI242" s="17"/>
      <c r="CJ242" s="20">
        <f>CA242-2*(CB242-CM242)</f>
        <v>-1.5</v>
      </c>
      <c r="CK242" s="20">
        <f>CM242-(CB242-CA242)</f>
        <v>3</v>
      </c>
      <c r="CL242" s="20">
        <f>2*CM242-CB242</f>
        <v>5.25</v>
      </c>
      <c r="CM242" s="48">
        <f>(CB242+CA242+BI242)/3</f>
        <v>9.75</v>
      </c>
      <c r="CN242" s="20">
        <f>2*CM242-CA242</f>
        <v>12</v>
      </c>
      <c r="CO242" s="20">
        <f>CM242+(CB242-CA242)</f>
        <v>16.5</v>
      </c>
      <c r="CP242" s="20">
        <f>CB242+2*(CM242-CA242)</f>
        <v>18.75</v>
      </c>
      <c r="CQ242" s="2" cm="1">
        <f t="array" aca="1" ref="CQ242" ca="1">MAX(_xlfn._xlws.FILTER(CJ242:CP242,CJ242:CP242&lt;BJ242))</f>
        <v>5.25</v>
      </c>
      <c r="CR242" s="2" cm="1">
        <f t="array" aca="1" ref="CR242" ca="1">MIN(_xlfn._xlws.FILTER($CJ242:$CP242,$CJ242:$CP242&gt;BJ242))</f>
        <v>9.75</v>
      </c>
      <c r="CS242" s="19">
        <f t="shared" ca="1" si="207"/>
        <v>0.85714285714285721</v>
      </c>
      <c r="CT242" s="23">
        <f t="shared" ca="1" si="208"/>
        <v>-0.4285714285714286</v>
      </c>
      <c r="CU242" s="23">
        <f t="shared" ca="1" si="209"/>
        <v>-0.28571428571428575</v>
      </c>
      <c r="CV242" s="23">
        <f t="shared" ca="1" si="210"/>
        <v>-0.17142857142857143</v>
      </c>
      <c r="CW242" s="23">
        <f t="shared" ca="1" si="211"/>
        <v>-9.5238095238095247E-2</v>
      </c>
      <c r="CX242" s="23">
        <f t="shared" ca="1" si="212"/>
        <v>-5.0420168067226892E-2</v>
      </c>
      <c r="CY242" s="23">
        <f t="shared" ca="1" si="213"/>
        <v>-2.5974025974025976E-2</v>
      </c>
      <c r="CZ242" s="23">
        <f t="shared" ca="1" si="214"/>
        <v>-1.3186813186813189E-2</v>
      </c>
      <c r="DA242" s="24">
        <f t="shared" ca="1" si="215"/>
        <v>1.3186813186813189E-2</v>
      </c>
      <c r="DB242" s="24">
        <f t="shared" ca="1" si="216"/>
        <v>2.5974025974025976E-2</v>
      </c>
      <c r="DC242" s="24">
        <f t="shared" ca="1" si="217"/>
        <v>5.0420168067226892E-2</v>
      </c>
      <c r="DD242" s="24">
        <f t="shared" ca="1" si="218"/>
        <v>9.5238095238095247E-2</v>
      </c>
      <c r="DE242" s="24">
        <f t="shared" ca="1" si="219"/>
        <v>0.17142857142857143</v>
      </c>
      <c r="DF242" s="24">
        <f t="shared" ca="1" si="220"/>
        <v>0.28571428571428575</v>
      </c>
      <c r="DG242" s="24">
        <f t="shared" ca="1" si="221"/>
        <v>0.4285714285714286</v>
      </c>
      <c r="DI242" s="19" cm="1">
        <f t="array" aca="1" ref="DI242" ca="1">MAX(_xlfn._xlws.FILTER(CT242:DG242,CT242:DG242&lt;BP242))</f>
        <v>-1.3186813186813189E-2</v>
      </c>
      <c r="DJ242" s="19" cm="1">
        <f t="array" aca="1" ref="DJ242" ca="1">MIN(_xlfn._xlws.FILTER(CT242:DG242,CT242:DG242&gt;BP242))</f>
        <v>1.3186813186813189E-2</v>
      </c>
      <c r="DK242" s="2" cm="1">
        <f t="array" aca="1" ref="DK242" ca="1">_FV(EH242,"Fechamento anterior",TRUE)</f>
        <v>7.5</v>
      </c>
      <c r="DL242" s="36">
        <f ca="1">(BJ242-DM242)/(DN242-DM242)</f>
        <v>0.5</v>
      </c>
      <c r="DM242" s="18">
        <f t="shared" ca="1" si="222"/>
        <v>7.4010989010989015</v>
      </c>
      <c r="DN242" s="18">
        <f t="shared" ca="1" si="223"/>
        <v>7.5989010989010985</v>
      </c>
      <c r="DO242" s="9"/>
      <c r="DP242" s="9"/>
      <c r="DQ242" s="94">
        <v>2.2309976507372316E-2</v>
      </c>
      <c r="DR242" s="94">
        <v>2.4069032347376673E-2</v>
      </c>
      <c r="DS242" s="94">
        <v>2.1411234848745596E-2</v>
      </c>
      <c r="DT242" s="94">
        <f t="shared" ca="1" si="200"/>
        <v>2.6373626373626377E-2</v>
      </c>
      <c r="DU242" s="87">
        <f ca="1">(BJ242-CF242)/(CF242-CE242)</f>
        <v>0.34608985616430005</v>
      </c>
      <c r="DV242" s="46"/>
      <c r="DW242" s="43">
        <f>_xlfn.STDEV.P(BF242:BI242)</f>
        <v>0.26004807247891704</v>
      </c>
      <c r="DX242" s="76">
        <f ca="1">BO242-$DT$2</f>
        <v>0.45429999999999993</v>
      </c>
      <c r="DY242" s="76">
        <f ca="1">BO242-BP242*100</f>
        <v>1.4514</v>
      </c>
      <c r="DZ242" s="101"/>
      <c r="EA242" s="100">
        <v>-2.3140999999999998</v>
      </c>
      <c r="EB242" s="107">
        <v>-2.7825000000000006</v>
      </c>
      <c r="EC242" s="107">
        <v>1.2591000000000001</v>
      </c>
      <c r="ED242" s="98">
        <f t="shared" ca="1" si="196"/>
        <v>-0.9971000000000001</v>
      </c>
      <c r="EE242" s="66"/>
      <c r="EF242" s="66"/>
      <c r="EH242" s="2" t="e" vm="244">
        <v>#VALUE!</v>
      </c>
      <c r="EJ242" s="10" cm="1">
        <f t="array" aca="1" ref="EJ242" ca="1">_FV(EH242,"Ações em circulação",TRUE)</f>
        <v>1326094000</v>
      </c>
      <c r="EK242" s="21">
        <f>VLOOKUP(BK242,Fundamentus!A:U,5,FALSE)</f>
        <v>0.23499999999999999</v>
      </c>
      <c r="EL242" s="2">
        <f ca="1">(BJ242*EJ242)/EK242</f>
        <v>42322148936.170212</v>
      </c>
      <c r="EM242" s="20">
        <v>-1688653742.5531914</v>
      </c>
      <c r="EN242" s="20">
        <f t="shared" ca="1" si="201"/>
        <v>-1688653742.5531914</v>
      </c>
      <c r="EP242" s="19">
        <f t="shared" ca="1" si="197"/>
        <v>0</v>
      </c>
      <c r="EQ242" s="40" t="str">
        <f>IF(VLOOKUP(BK242,Fundamentus!A:U,3,FALSE)&lt;15,"Bom",IF(VLOOKUP(BK242,Fundamentus!A:U,3,FALSE)&gt;15,"Ruim","n/a"))</f>
        <v>Bom</v>
      </c>
      <c r="ER242" s="36" t="str">
        <f>IF(VLOOKUP(BK242,Fundamentus!A:U,4,FALSE)&lt;1,"Baixo",IF(VLOOKUP(BK242,Fundamentus!A:U,4,FALSE)&lt;1.5,"Moderado",IF(VLOOKUP(BK242,Fundamentus!A:U,4,FALSE)&gt;1.5,"Alto","n/a")))</f>
        <v>Baixo</v>
      </c>
      <c r="ES242" s="20" t="str">
        <f>IF(VLOOKUP(BK242,Fundamentus!A:U,8,FALSE)&lt;0,"Risco elevado",IF(VLOOKUP(BK242,Fundamentus!A:U,8,FALSE)&lt;1,"Saudável",IF(VLOOKUP(BK242,Fundamentus!A:U,8,FALSE)&lt;3,"Estável",IF(VLOOKUP(BK242,Fundamentus!A:U,8,FALSE)&gt;3,"Alerta","n/a"))))</f>
        <v>Saudável</v>
      </c>
      <c r="ET242" s="36" t="str">
        <f t="shared" si="202"/>
        <v>Ruim</v>
      </c>
      <c r="EU242" s="20" t="str">
        <f>IF(VLOOKUP(BK242,Fundamentus!A:U,12,FALSE)&lt;2,"Subvalorizada",IF(VLOOKUP(BK242,Fundamentus!A:U,12,FALSE)&lt;6,"Muita barata",IF(VLOOKUP(BK242,Fundamentus!A:U,12,FALSE)&lt;6,"Barata",IF(VLOOKUP(BK242,Fundamentus!A:U,12,FALSE)&lt;8,"Atrativa",IF(VLOOKUP(BK242,Fundamentus!A:U,12,FALSE)&gt;8,"Supervalorizada","n/a")))))</f>
        <v>Muita barata</v>
      </c>
      <c r="EW242" s="20" t="str">
        <f>IF(VLOOKUP(BK242,Fundamentus!A:U,17,FALSE)&lt;0.1,"Fraco retorno",IF(VLOOKUP(BK242,Fundamentus!A:U,17,FALSE)&gt;0.1,"Bom retorno","n/a"))</f>
        <v>Fraco retorno</v>
      </c>
      <c r="EX242" s="20" t="str">
        <f>IF(VLOOKUP(BK242,Fundamentus!A:U,16,FALSE)&lt;0.1,"Ineficiente",IF(VLOOKUP(BK242,Fundamentus!A:U,16,FALSE)&gt;0.1,"Eficiente","n/a"))</f>
        <v>Ineficiente</v>
      </c>
      <c r="EY242" s="41" t="str">
        <f>IF(VLOOKUP(BK242,Fundamentus!A:U,16,FALSE)&lt;0.1,"Oper. Ineficiente",IF(VLOOKUP(BK242,Fundamentus!A:U,16,FALSE)&gt;0.1,"Oper.Eficiente","n/a"))</f>
        <v>Oper. Ineficiente</v>
      </c>
      <c r="EZ242" s="42">
        <f>VLOOKUP(BK242,Fundamentus!A:U,14,FALSE)</f>
        <v>-3.9899999999999998E-2</v>
      </c>
      <c r="FA242" s="20" t="str">
        <f>IF(VLOOKUP(BK242,Fundamentus!A:U,21,FALSE)&lt;0,"Negativo",IF(VLOOKUP(BK242,Fundamentus!A:U,21,FALSE)&lt;0.05,"Fraco",IF(VLOOKUP(BK242,Fundamentus!A:U,21,FALSE)&lt;0.1,"Bom",IF(VLOOKUP(BK242,Fundamentus!A:U,21,FALSE)&gt;0.1,"Muito bom","n/a"))))</f>
        <v>Fraco</v>
      </c>
      <c r="FC242" s="37" t="str">
        <f>IF(VLOOKUP(BK242,Fundamentus!A:U,15,FALSE)&gt;1,"Bom",IF(VLOOKUP(BK242,Fundamentus!A:U,15,FALSE)&lt;1,"Ruim","n/a"))</f>
        <v>Bom</v>
      </c>
      <c r="FD242" s="20" t="str">
        <f>IF(VLOOKUP(BK242,Fundamentus!A:U,20,FALSE)&lt;0.5,"Baixa",IF(VLOOKUP(BK242,Fundamentus!A:U,20,FALSE)&lt;1,"Moderada",IF(VLOOKUP(BK242,Fundamentus!A:U,20,FALSE)&lt;2,"Alerta",IF(VLOOKUP(BK242,Fundamentus!A:U,20,FALSE)&gt;2,"Alta","n/a"))))</f>
        <v>Alta</v>
      </c>
    </row>
    <row r="243" spans="1:160" s="2" customFormat="1" ht="11.25" hidden="1"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8">
        <v>0.86</v>
      </c>
      <c r="BC243" s="62">
        <v>0.86</v>
      </c>
      <c r="BD243" s="62">
        <v>0.86</v>
      </c>
      <c r="BE243" s="62">
        <v>0.86</v>
      </c>
      <c r="BF243" s="62">
        <v>0.86</v>
      </c>
      <c r="BG243" s="81">
        <v>0.86</v>
      </c>
      <c r="BH243" s="62">
        <v>0.86</v>
      </c>
      <c r="BI243" s="62">
        <v>0.86</v>
      </c>
      <c r="BJ243" s="62" cm="1">
        <f t="array" aca="1" ref="BJ243" ca="1">_FV(EH243,"Preço")</f>
        <v>0.86</v>
      </c>
      <c r="BK243" s="83" t="s">
        <v>239</v>
      </c>
      <c r="BL243" s="44" t="e" cm="1" vm="3">
        <f t="array" ref="BL243">_FV(EH243,"Média de volume",TRUE)</f>
        <v>#VALUE!</v>
      </c>
      <c r="BM243" s="44">
        <v>5000</v>
      </c>
      <c r="BN243" s="44" cm="1">
        <f t="array" aca="1" ref="BN243" ca="1">_FV(EH243,"Volume")</f>
        <v>5000</v>
      </c>
      <c r="BO243" s="32" cm="1">
        <f t="array" aca="1" ref="BO243" ca="1">_FV(EH243,"Beta")</f>
        <v>1.1884999999999999</v>
      </c>
      <c r="BP243" s="86" cm="1">
        <f t="array" aca="1" ref="BP243" ca="1">_FV(EH243,"Variação (%)",TRUE)</f>
        <v>-2.2727000000000001E-2</v>
      </c>
      <c r="BQ243" s="48"/>
      <c r="BR243" s="48"/>
      <c r="BT243" s="20" cm="1">
        <f t="array" aca="1" ref="BT243" ca="1">_FV(EH243,"Baixo")</f>
        <v>0.86</v>
      </c>
      <c r="BU243" s="20" cm="1">
        <f t="array" aca="1" ref="BU243" ca="1">_FV(EH243,"Alto")</f>
        <v>0.86</v>
      </c>
      <c r="BV243" s="32"/>
      <c r="BW243" s="73" t="e">
        <f ca="1">SQRT(22.5*(BJ243/VLOOKUP(BK243,Fundamentus!A:U,3,FALSE))*(BJ243/VLOOKUP(BK243,Fundamentus!A:U,4,FALSE)))</f>
        <v>#N/A</v>
      </c>
      <c r="BY243" s="72">
        <f t="shared" ca="1" si="198"/>
        <v>0</v>
      </c>
      <c r="BZ243" s="8"/>
      <c r="CA243" s="71">
        <f t="shared" si="205"/>
        <v>0.62</v>
      </c>
      <c r="CB243" s="71">
        <f t="shared" si="199"/>
        <v>1.1100000000000001</v>
      </c>
      <c r="CC243" s="71">
        <f t="shared" si="206"/>
        <v>0.86409836065573742</v>
      </c>
      <c r="CD243" s="17"/>
      <c r="CE243" s="43">
        <f t="shared" si="203"/>
        <v>0.86</v>
      </c>
      <c r="CF243" s="18">
        <f>FORECAST("04/07/2025", BF243:BI243, $BF$5:$BI$5)</f>
        <v>0.86</v>
      </c>
      <c r="CG243" s="43">
        <f t="shared" si="204"/>
        <v>0.86</v>
      </c>
      <c r="CI243" s="17"/>
      <c r="CJ243" s="20">
        <f>CA243-2*(CB243-CM243)</f>
        <v>0.12666666666666637</v>
      </c>
      <c r="CK243" s="20">
        <f>CM243-(CB243-CA243)</f>
        <v>0.37333333333333318</v>
      </c>
      <c r="CL243" s="20">
        <f>2*CM243-CB243</f>
        <v>0.61666666666666647</v>
      </c>
      <c r="CM243" s="48">
        <f>(CB243+CA243+BI243)/3</f>
        <v>0.86333333333333329</v>
      </c>
      <c r="CN243" s="20">
        <f>2*CM243-CA243</f>
        <v>1.1066666666666665</v>
      </c>
      <c r="CO243" s="20">
        <f>CM243+(CB243-CA243)</f>
        <v>1.3533333333333335</v>
      </c>
      <c r="CP243" s="20">
        <f>CB243+2*(CM243-CA243)</f>
        <v>1.5966666666666667</v>
      </c>
      <c r="CQ243" s="2" cm="1">
        <f t="array" aca="1" ref="CQ243" ca="1">MAX(_xlfn._xlws.FILTER(CJ243:CP243,CJ243:CP243&lt;BJ243))</f>
        <v>0.61666666666666647</v>
      </c>
      <c r="CR243" s="2" cm="1">
        <f t="array" aca="1" ref="CR243" ca="1">MIN(_xlfn._xlws.FILTER($CJ243:$CP243,$CJ243:$CP243&gt;BJ243))</f>
        <v>0.86333333333333329</v>
      </c>
      <c r="CS243" s="19">
        <f t="shared" ca="1" si="207"/>
        <v>0.40000000000000036</v>
      </c>
      <c r="CT243" s="23">
        <f t="shared" ca="1" si="208"/>
        <v>-0.20000000000000018</v>
      </c>
      <c r="CU243" s="23">
        <f t="shared" ca="1" si="209"/>
        <v>-0.13333333333333344</v>
      </c>
      <c r="CV243" s="23">
        <f t="shared" ca="1" si="210"/>
        <v>-8.0000000000000071E-2</v>
      </c>
      <c r="CW243" s="23">
        <f t="shared" ca="1" si="211"/>
        <v>-4.4444444444444481E-2</v>
      </c>
      <c r="CX243" s="23">
        <f t="shared" ca="1" si="212"/>
        <v>-2.3529411764705903E-2</v>
      </c>
      <c r="CY243" s="23">
        <f t="shared" ca="1" si="213"/>
        <v>-1.2121212121212132E-2</v>
      </c>
      <c r="CZ243" s="23">
        <f t="shared" ca="1" si="214"/>
        <v>-6.153846153846159E-3</v>
      </c>
      <c r="DA243" s="24">
        <f t="shared" ca="1" si="215"/>
        <v>6.153846153846159E-3</v>
      </c>
      <c r="DB243" s="24">
        <f t="shared" ca="1" si="216"/>
        <v>1.2121212121212132E-2</v>
      </c>
      <c r="DC243" s="24">
        <f t="shared" ca="1" si="217"/>
        <v>2.3529411764705903E-2</v>
      </c>
      <c r="DD243" s="24">
        <f t="shared" ca="1" si="218"/>
        <v>4.4444444444444481E-2</v>
      </c>
      <c r="DE243" s="24">
        <f t="shared" ca="1" si="219"/>
        <v>8.0000000000000071E-2</v>
      </c>
      <c r="DF243" s="24">
        <f t="shared" ca="1" si="220"/>
        <v>0.13333333333333344</v>
      </c>
      <c r="DG243" s="24">
        <f t="shared" ca="1" si="221"/>
        <v>0.20000000000000018</v>
      </c>
      <c r="DI243" s="19" cm="1">
        <f t="array" aca="1" ref="DI243" ca="1">MAX(_xlfn._xlws.FILTER(CT243:DG243,CT243:DG243&lt;BP243))</f>
        <v>-2.3529411764705903E-2</v>
      </c>
      <c r="DJ243" s="19" cm="1">
        <f t="array" aca="1" ref="DJ243" ca="1">MIN(_xlfn._xlws.FILTER(CT243:DG243,CT243:DG243&gt;BP243))</f>
        <v>-1.2121212121212132E-2</v>
      </c>
      <c r="DK243" s="2" cm="1">
        <f t="array" aca="1" ref="DK243" ca="1">_FV(EH243,"Fechamento anterior",TRUE)</f>
        <v>0.88</v>
      </c>
      <c r="DL243" s="36">
        <f ca="1">(BJ243-DM243)/(DN243-DM243)</f>
        <v>7.0312500000004496E-2</v>
      </c>
      <c r="DM243" s="18">
        <f t="shared" ca="1" si="222"/>
        <v>0.85929411764705876</v>
      </c>
      <c r="DN243" s="18">
        <f t="shared" ca="1" si="223"/>
        <v>0.86933333333333329</v>
      </c>
      <c r="DO243" s="9"/>
      <c r="DP243" s="9"/>
      <c r="DQ243" s="94">
        <v>1.0902517035182876E-2</v>
      </c>
      <c r="DR243" s="94">
        <v>1.0902517035182876E-2</v>
      </c>
      <c r="DS243" s="94">
        <v>1.1408199643493771E-2</v>
      </c>
      <c r="DT243" s="94">
        <f t="shared" ca="1" si="200"/>
        <v>1.1408199643493771E-2</v>
      </c>
      <c r="DU243" s="87" t="e">
        <f ca="1">(BJ243-CF243)/(CF243-CE243)</f>
        <v>#DIV/0!</v>
      </c>
      <c r="DV243" s="46"/>
      <c r="DW243" s="43">
        <f>_xlfn.STDEV.P(BF243:BI243)</f>
        <v>0</v>
      </c>
      <c r="DX243" s="76">
        <f ca="1">BO243-$DT$2</f>
        <v>0.19139999999999979</v>
      </c>
      <c r="DY243" s="76">
        <f ca="1">BO243-BP243*100</f>
        <v>3.4611999999999998</v>
      </c>
      <c r="DZ243" s="101"/>
      <c r="EA243" s="100">
        <v>-1.974</v>
      </c>
      <c r="EB243" s="107">
        <v>-1.0308000000000002</v>
      </c>
      <c r="EC243" s="107">
        <v>-2.0918000000000001</v>
      </c>
      <c r="ED243" s="98">
        <f t="shared" ca="1" si="196"/>
        <v>-3.2698</v>
      </c>
      <c r="EE243" s="66"/>
      <c r="EF243" s="66"/>
      <c r="EH243" s="2" t="e" vm="245">
        <v>#VALUE!</v>
      </c>
      <c r="EJ243" s="10" cm="1">
        <f t="array" aca="1" ref="EJ243" ca="1">_FV(EH243,"Ações em circulação",TRUE)</f>
        <v>30636460</v>
      </c>
      <c r="EK243" s="21" t="e">
        <f>VLOOKUP(BK243,Fundamentus!A:U,5,FALSE)</f>
        <v>#N/A</v>
      </c>
      <c r="EL243" s="2" t="e">
        <f ca="1">(BJ243*EJ243)/EK243</f>
        <v>#N/A</v>
      </c>
      <c r="EM243" s="20" t="e">
        <v>#N/A</v>
      </c>
      <c r="EN243" s="20" t="e">
        <f t="shared" ca="1" si="201"/>
        <v>#N/A</v>
      </c>
      <c r="EP243" s="19" t="e">
        <f t="shared" ca="1" si="197"/>
        <v>#N/A</v>
      </c>
      <c r="EQ243" s="40" t="e">
        <f>IF(VLOOKUP(BK243,Fundamentus!A:U,3,FALSE)&lt;15,"Bom",IF(VLOOKUP(BK243,Fundamentus!A:U,3,FALSE)&gt;15,"Ruim","n/a"))</f>
        <v>#N/A</v>
      </c>
      <c r="ER243" s="36" t="e">
        <f>IF(VLOOKUP(BK243,Fundamentus!A:U,4,FALSE)&lt;1,"Baixo",IF(VLOOKUP(BK243,Fundamentus!A:U,4,FALSE)&lt;1.5,"Moderado",IF(VLOOKUP(BK243,Fundamentus!A:U,4,FALSE)&gt;1.5,"Alto","n/a")))</f>
        <v>#N/A</v>
      </c>
      <c r="ES243" s="20" t="e">
        <f>IF(VLOOKUP(BK243,Fundamentus!A:U,8,FALSE)&lt;0,"Risco elevado",IF(VLOOKUP(BK243,Fundamentus!A:U,8,FALSE)&lt;1,"Saudável",IF(VLOOKUP(BK243,Fundamentus!A:U,8,FALSE)&lt;3,"Estável",IF(VLOOKUP(BK243,Fundamentus!A:U,8,FALSE)&gt;3,"Alerta","n/a"))))</f>
        <v>#N/A</v>
      </c>
      <c r="ET243" s="36" t="e">
        <f t="shared" si="202"/>
        <v>#N/A</v>
      </c>
      <c r="EU243" s="20" t="e">
        <f>IF(VLOOKUP(BK243,Fundamentus!A:U,12,FALSE)&lt;2,"Subvalorizada",IF(VLOOKUP(BK243,Fundamentus!A:U,12,FALSE)&lt;6,"Muita barata",IF(VLOOKUP(BK243,Fundamentus!A:U,12,FALSE)&lt;6,"Barata",IF(VLOOKUP(BK243,Fundamentus!A:U,12,FALSE)&lt;8,"Atrativa",IF(VLOOKUP(BK243,Fundamentus!A:U,12,FALSE)&gt;8,"Supervalorizada","n/a")))))</f>
        <v>#N/A</v>
      </c>
      <c r="EW243" s="20" t="e">
        <f>IF(VLOOKUP(BK243,Fundamentus!A:U,17,FALSE)&lt;0.1,"Fraco retorno",IF(VLOOKUP(BK243,Fundamentus!A:U,17,FALSE)&gt;0.1,"Bom retorno","n/a"))</f>
        <v>#N/A</v>
      </c>
      <c r="EX243" s="20" t="e">
        <f>IF(VLOOKUP(BK243,Fundamentus!A:U,16,FALSE)&lt;0.1,"Ineficiente",IF(VLOOKUP(BK243,Fundamentus!A:U,16,FALSE)&gt;0.1,"Eficiente","n/a"))</f>
        <v>#N/A</v>
      </c>
      <c r="EY243" s="41" t="e">
        <f>IF(VLOOKUP(BK243,Fundamentus!A:U,16,FALSE)&lt;0.1,"Oper. Ineficiente",IF(VLOOKUP(BK243,Fundamentus!A:U,16,FALSE)&gt;0.1,"Oper.Eficiente","n/a"))</f>
        <v>#N/A</v>
      </c>
      <c r="EZ243" s="42" t="e">
        <f>VLOOKUP(BK243,Fundamentus!A:U,14,FALSE)</f>
        <v>#N/A</v>
      </c>
      <c r="FA243" s="20" t="e">
        <f>IF(VLOOKUP(BK243,Fundamentus!A:U,21,FALSE)&lt;0,"Negativo",IF(VLOOKUP(BK243,Fundamentus!A:U,21,FALSE)&lt;0.05,"Fraco",IF(VLOOKUP(BK243,Fundamentus!A:U,21,FALSE)&lt;0.1,"Bom",IF(VLOOKUP(BK243,Fundamentus!A:U,21,FALSE)&gt;0.1,"Muito bom","n/a"))))</f>
        <v>#N/A</v>
      </c>
      <c r="FC243" s="37" t="e">
        <f>IF(VLOOKUP(BK243,Fundamentus!A:U,15,FALSE)&gt;1,"Bom",IF(VLOOKUP(BK243,Fundamentus!A:U,15,FALSE)&lt;1,"Ruim","n/a"))</f>
        <v>#N/A</v>
      </c>
      <c r="FD243" s="20" t="e">
        <f>IF(VLOOKUP(BK243,Fundamentus!A:U,20,FALSE)&lt;0.5,"Baixa",IF(VLOOKUP(BK243,Fundamentus!A:U,20,FALSE)&lt;1,"Moderada",IF(VLOOKUP(BK243,Fundamentus!A:U,20,FALSE)&lt;2,"Alerta",IF(VLOOKUP(BK243,Fundamentus!A:U,20,FALSE)&gt;2,"Alta","n/a"))))</f>
        <v>#N/A</v>
      </c>
    </row>
    <row r="244" spans="1:160" s="2" customFormat="1" ht="11.25" hidden="1"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8">
        <v>0.1</v>
      </c>
      <c r="BC244" s="62">
        <v>0.08</v>
      </c>
      <c r="BD244" s="62">
        <v>7.0000000000000007E-2</v>
      </c>
      <c r="BE244" s="62">
        <v>7.0000000000000007E-2</v>
      </c>
      <c r="BF244" s="62">
        <v>7.0000000000000007E-2</v>
      </c>
      <c r="BG244" s="81">
        <v>7.0000000000000007E-2</v>
      </c>
      <c r="BH244" s="62">
        <v>0.05</v>
      </c>
      <c r="BI244" s="62">
        <v>0.05</v>
      </c>
      <c r="BJ244" s="62" cm="1">
        <f t="array" aca="1" ref="BJ244" ca="1">_FV(EH244,"Preço")</f>
        <v>0.05</v>
      </c>
      <c r="BK244" s="83" t="s">
        <v>240</v>
      </c>
      <c r="BL244" s="44" cm="1">
        <f t="array" aca="1" ref="BL244" ca="1">_FV(EH244,"Média de volume",TRUE)</f>
        <v>15234100</v>
      </c>
      <c r="BM244" s="44">
        <v>8884900</v>
      </c>
      <c r="BN244" s="44" cm="1">
        <f t="array" aca="1" ref="BN244" ca="1">_FV(EH244,"Volume")</f>
        <v>1260500</v>
      </c>
      <c r="BO244" s="32" cm="1">
        <f t="array" aca="1" ref="BO244" ca="1">_FV(EH244,"Beta")</f>
        <v>2.5089000000000001</v>
      </c>
      <c r="BP244" s="86" cm="1">
        <f t="array" aca="1" ref="BP244" ca="1">_FV(EH244,"Variação (%)",TRUE)</f>
        <v>0</v>
      </c>
      <c r="BQ244" s="48"/>
      <c r="BR244" s="48"/>
      <c r="BT244" s="20" cm="1">
        <f t="array" aca="1" ref="BT244" ca="1">_FV(EH244,"Baixo")</f>
        <v>0.05</v>
      </c>
      <c r="BU244" s="20" cm="1">
        <f t="array" aca="1" ref="BU244" ca="1">_FV(EH244,"Alto")</f>
        <v>0.06</v>
      </c>
      <c r="BV244" s="32"/>
      <c r="BW244" s="73">
        <f ca="1">SQRT(22.5*(BJ244/VLOOKUP(BK244,Fundamentus!A:U,3,FALSE))*(BJ244/VLOOKUP(BK244,Fundamentus!A:U,4,FALSE)))</f>
        <v>1.1572751247156894</v>
      </c>
      <c r="BY244" s="72">
        <f t="shared" ca="1" si="198"/>
        <v>0</v>
      </c>
      <c r="BZ244" s="8"/>
      <c r="CA244" s="71">
        <f t="shared" si="205"/>
        <v>0.05</v>
      </c>
      <c r="CB244" s="71">
        <f t="shared" si="199"/>
        <v>0.74</v>
      </c>
      <c r="CC244" s="71">
        <f t="shared" si="206"/>
        <v>0.18270491803278693</v>
      </c>
      <c r="CD244" s="17"/>
      <c r="CE244" s="43">
        <f t="shared" si="203"/>
        <v>2.0000000000006183E-2</v>
      </c>
      <c r="CF244" s="18">
        <f>FORECAST("04/07/2025", BF244:BI244, $BF$5:$BI$5)</f>
        <v>4.0000000000006253E-2</v>
      </c>
      <c r="CG244" s="43">
        <f t="shared" si="204"/>
        <v>6.0000000000006326E-2</v>
      </c>
      <c r="CI244" s="17"/>
      <c r="CJ244" s="20">
        <f>CA244-2*(CB244-CM244)</f>
        <v>-0.86999999999999988</v>
      </c>
      <c r="CK244" s="20">
        <f>CM244-(CB244-CA244)</f>
        <v>-0.40999999999999992</v>
      </c>
      <c r="CL244" s="20">
        <f>2*CM244-CB244</f>
        <v>-0.17999999999999994</v>
      </c>
      <c r="CM244" s="48">
        <f>(CB244+CA244+BI244)/3</f>
        <v>0.28000000000000003</v>
      </c>
      <c r="CN244" s="20">
        <f>2*CM244-CA244</f>
        <v>0.51</v>
      </c>
      <c r="CO244" s="20">
        <f>CM244+(CB244-CA244)</f>
        <v>0.97</v>
      </c>
      <c r="CP244" s="20">
        <f>CB244+2*(CM244-CA244)</f>
        <v>1.2000000000000002</v>
      </c>
      <c r="CQ244" s="2" cm="1">
        <f t="array" aca="1" ref="CQ244" ca="1">MAX(_xlfn._xlws.FILTER(CJ244:CP244,CJ244:CP244&lt;BJ244))</f>
        <v>-0.17999999999999994</v>
      </c>
      <c r="CR244" s="2" cm="1">
        <f t="array" aca="1" ref="CR244" ca="1">MIN(_xlfn._xlws.FILTER($CJ244:$CP244,$CJ244:$CP244&gt;BJ244))</f>
        <v>0.28000000000000003</v>
      </c>
      <c r="CS244" s="19">
        <f t="shared" ca="1" si="207"/>
        <v>-2.5555555555555562</v>
      </c>
      <c r="CT244" s="23">
        <f t="shared" ca="1" si="208"/>
        <v>1.2777777777777781</v>
      </c>
      <c r="CU244" s="23">
        <f t="shared" ca="1" si="209"/>
        <v>0.85185185185185208</v>
      </c>
      <c r="CV244" s="23">
        <f t="shared" ca="1" si="210"/>
        <v>0.51111111111111129</v>
      </c>
      <c r="CW244" s="23">
        <f t="shared" ca="1" si="211"/>
        <v>0.28395061728395071</v>
      </c>
      <c r="CX244" s="23">
        <f t="shared" ca="1" si="212"/>
        <v>0.15032679738562096</v>
      </c>
      <c r="CY244" s="23">
        <f t="shared" ca="1" si="213"/>
        <v>7.7441077441077463E-2</v>
      </c>
      <c r="CZ244" s="23">
        <f t="shared" ca="1" si="214"/>
        <v>3.9316239316239329E-2</v>
      </c>
      <c r="DA244" s="24">
        <f t="shared" ca="1" si="215"/>
        <v>-3.9316239316239329E-2</v>
      </c>
      <c r="DB244" s="24">
        <f t="shared" ca="1" si="216"/>
        <v>-7.7441077441077463E-2</v>
      </c>
      <c r="DC244" s="24">
        <f t="shared" ca="1" si="217"/>
        <v>-0.15032679738562096</v>
      </c>
      <c r="DD244" s="24">
        <f t="shared" ca="1" si="218"/>
        <v>-0.28395061728395071</v>
      </c>
      <c r="DE244" s="24">
        <f t="shared" ca="1" si="219"/>
        <v>-0.51111111111111129</v>
      </c>
      <c r="DF244" s="24">
        <f t="shared" ca="1" si="220"/>
        <v>-0.85185185185185208</v>
      </c>
      <c r="DG244" s="24">
        <f t="shared" ca="1" si="221"/>
        <v>-1.2777777777777781</v>
      </c>
      <c r="DI244" s="19" cm="1">
        <f t="array" aca="1" ref="DI244" ca="1">MAX(_xlfn._xlws.FILTER(CT244:DG244,CT244:DG244&lt;BP244))</f>
        <v>-3.9316239316239329E-2</v>
      </c>
      <c r="DJ244" s="19" cm="1">
        <f t="array" aca="1" ref="DJ244" ca="1">MIN(_xlfn._xlws.FILTER(CT244:DG244,CT244:DG244&gt;BP244))</f>
        <v>3.9316239316239329E-2</v>
      </c>
      <c r="DK244" s="2" cm="1">
        <f t="array" aca="1" ref="DK244" ca="1">_FV(EH244,"Fechamento anterior",TRUE)</f>
        <v>0.05</v>
      </c>
      <c r="DL244" s="36">
        <f ca="1">(BJ244-DM244)/(DN244-DM244)</f>
        <v>0.5</v>
      </c>
      <c r="DM244" s="18">
        <f t="shared" ca="1" si="222"/>
        <v>4.8034188034188033E-2</v>
      </c>
      <c r="DN244" s="18">
        <f t="shared" ca="1" si="223"/>
        <v>5.1965811965811973E-2</v>
      </c>
      <c r="DO244" s="9"/>
      <c r="DP244" s="9"/>
      <c r="DQ244" s="94">
        <v>8.3692307692307705E-2</v>
      </c>
      <c r="DR244" s="94">
        <v>8.3692307692307705E-2</v>
      </c>
      <c r="DS244" s="94">
        <v>0.14705882352941183</v>
      </c>
      <c r="DT244" s="94">
        <f t="shared" ca="1" si="200"/>
        <v>7.8632478632478658E-2</v>
      </c>
      <c r="DU244" s="87">
        <f ca="1">(BJ244-CF244)/(CF244-CE244)</f>
        <v>0.49999999999968575</v>
      </c>
      <c r="DV244" s="46"/>
      <c r="DW244" s="43">
        <f>_xlfn.STDEV.P(BF244:BI244)</f>
        <v>1.0000000000000035E-2</v>
      </c>
      <c r="DX244" s="76">
        <f ca="1">BO244-$DT$2</f>
        <v>1.5118</v>
      </c>
      <c r="DY244" s="76">
        <f ca="1">BO244-BP244*100</f>
        <v>2.5089000000000001</v>
      </c>
      <c r="DZ244" s="101"/>
      <c r="EA244" s="100">
        <v>-13.987000000000002</v>
      </c>
      <c r="EB244" s="107">
        <v>-15.424799999999998</v>
      </c>
      <c r="EC244" s="107">
        <v>0.18089999999999984</v>
      </c>
      <c r="ED244" s="98">
        <f t="shared" ca="1" si="196"/>
        <v>-0.9971000000000001</v>
      </c>
      <c r="EE244" s="66"/>
      <c r="EF244" s="66"/>
      <c r="EH244" s="2" t="e" vm="246">
        <v>#VALUE!</v>
      </c>
      <c r="EJ244" s="10" cm="1">
        <f t="array" aca="1" ref="EJ244" ca="1">_FV(EH244,"Ações em circulação",TRUE)</f>
        <v>1480408000</v>
      </c>
      <c r="EK244" s="21">
        <f>VLOOKUP(BK244,Fundamentus!A:U,5,FALSE)</f>
        <v>0.10100000000000001</v>
      </c>
      <c r="EL244" s="2">
        <f ca="1">(BJ244*EJ244)/EK244</f>
        <v>732875247.52475238</v>
      </c>
      <c r="EM244" s="20">
        <v>-1215986610.6930692</v>
      </c>
      <c r="EN244" s="20">
        <f t="shared" ca="1" si="201"/>
        <v>-1215986610.6930692</v>
      </c>
      <c r="EP244" s="19">
        <f t="shared" ca="1" si="197"/>
        <v>0</v>
      </c>
      <c r="EQ244" s="40" t="str">
        <f>IF(VLOOKUP(BK244,Fundamentus!A:U,3,FALSE)&lt;15,"Bom",IF(VLOOKUP(BK244,Fundamentus!A:U,3,FALSE)&gt;15,"Ruim","n/a"))</f>
        <v>Bom</v>
      </c>
      <c r="ER244" s="36" t="str">
        <f>IF(VLOOKUP(BK244,Fundamentus!A:U,4,FALSE)&lt;1,"Baixo",IF(VLOOKUP(BK244,Fundamentus!A:U,4,FALSE)&lt;1.5,"Moderado",IF(VLOOKUP(BK244,Fundamentus!A:U,4,FALSE)&gt;1.5,"Alto","n/a")))</f>
        <v>Baixo</v>
      </c>
      <c r="ES244" s="20" t="str">
        <f>IF(VLOOKUP(BK244,Fundamentus!A:U,8,FALSE)&lt;0,"Risco elevado",IF(VLOOKUP(BK244,Fundamentus!A:U,8,FALSE)&lt;1,"Saudável",IF(VLOOKUP(BK244,Fundamentus!A:U,8,FALSE)&lt;3,"Estável",IF(VLOOKUP(BK244,Fundamentus!A:U,8,FALSE)&gt;3,"Alerta","n/a"))))</f>
        <v>Risco elevado</v>
      </c>
      <c r="ET244" s="36" t="str">
        <f t="shared" si="202"/>
        <v>Ruim</v>
      </c>
      <c r="EU244" s="20" t="str">
        <f>IF(VLOOKUP(BK244,Fundamentus!A:U,12,FALSE)&lt;2,"Subvalorizada",IF(VLOOKUP(BK244,Fundamentus!A:U,12,FALSE)&lt;6,"Muita barata",IF(VLOOKUP(BK244,Fundamentus!A:U,12,FALSE)&lt;6,"Barata",IF(VLOOKUP(BK244,Fundamentus!A:U,12,FALSE)&lt;8,"Atrativa",IF(VLOOKUP(BK244,Fundamentus!A:U,12,FALSE)&gt;8,"Supervalorizada","n/a")))))</f>
        <v>Subvalorizada</v>
      </c>
      <c r="EW244" s="20" t="str">
        <f>IF(VLOOKUP(BK244,Fundamentus!A:U,17,FALSE)&lt;0.1,"Fraco retorno",IF(VLOOKUP(BK244,Fundamentus!A:U,17,FALSE)&gt;0.1,"Bom retorno","n/a"))</f>
        <v>Bom retorno</v>
      </c>
      <c r="EX244" s="20" t="str">
        <f>IF(VLOOKUP(BK244,Fundamentus!A:U,16,FALSE)&lt;0.1,"Ineficiente",IF(VLOOKUP(BK244,Fundamentus!A:U,16,FALSE)&gt;0.1,"Eficiente","n/a"))</f>
        <v>Ineficiente</v>
      </c>
      <c r="EY244" s="41" t="str">
        <f>IF(VLOOKUP(BK244,Fundamentus!A:U,16,FALSE)&lt;0.1,"Oper. Ineficiente",IF(VLOOKUP(BK244,Fundamentus!A:U,16,FALSE)&gt;0.1,"Oper.Eficiente","n/a"))</f>
        <v>Oper. Ineficiente</v>
      </c>
      <c r="EZ244" s="42">
        <f>VLOOKUP(BK244,Fundamentus!A:U,14,FALSE)</f>
        <v>-1.6592</v>
      </c>
      <c r="FA244" s="20" t="str">
        <f>IF(VLOOKUP(BK244,Fundamentus!A:U,21,FALSE)&lt;0,"Negativo",IF(VLOOKUP(BK244,Fundamentus!A:U,21,FALSE)&lt;0.05,"Fraco",IF(VLOOKUP(BK244,Fundamentus!A:U,21,FALSE)&lt;0.1,"Bom",IF(VLOOKUP(BK244,Fundamentus!A:U,21,FALSE)&gt;0.1,"Muito bom","n/a"))))</f>
        <v>Muito bom</v>
      </c>
      <c r="FC244" s="37" t="str">
        <f>IF(VLOOKUP(BK244,Fundamentus!A:U,15,FALSE)&gt;1,"Bom",IF(VLOOKUP(BK244,Fundamentus!A:U,15,FALSE)&lt;1,"Ruim","n/a"))</f>
        <v>Ruim</v>
      </c>
      <c r="FD244" s="20" t="str">
        <f>IF(VLOOKUP(BK244,Fundamentus!A:U,20,FALSE)&lt;0.5,"Baixa",IF(VLOOKUP(BK244,Fundamentus!A:U,20,FALSE)&lt;1,"Moderada",IF(VLOOKUP(BK244,Fundamentus!A:U,20,FALSE)&lt;2,"Alerta",IF(VLOOKUP(BK244,Fundamentus!A:U,20,FALSE)&gt;2,"Alta","n/a"))))</f>
        <v>Baixa</v>
      </c>
    </row>
    <row r="245" spans="1:160" s="2" customFormat="1" ht="11.25" hidden="1"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8">
        <v>2.46</v>
      </c>
      <c r="BC245" s="62">
        <v>42.3</v>
      </c>
      <c r="BD245" s="62">
        <v>42.6</v>
      </c>
      <c r="BE245" s="62">
        <v>42.9</v>
      </c>
      <c r="BF245" s="62">
        <v>39.909999999999997</v>
      </c>
      <c r="BG245" s="81">
        <v>38.49</v>
      </c>
      <c r="BH245" s="62">
        <v>37.42</v>
      </c>
      <c r="BI245" s="62">
        <v>36.270000000000003</v>
      </c>
      <c r="BJ245" s="62" cm="1">
        <f t="array" aca="1" ref="BJ245" ca="1">_FV(EH245,"Preço")</f>
        <v>36.549999999999997</v>
      </c>
      <c r="BK245" s="83" t="s">
        <v>241</v>
      </c>
      <c r="BL245" s="44" cm="1">
        <f t="array" aca="1" ref="BL245" ca="1">_FV(EH245,"Média de volume",TRUE)</f>
        <v>5704800</v>
      </c>
      <c r="BM245" s="44">
        <v>3964000</v>
      </c>
      <c r="BN245" s="44" cm="1">
        <f t="array" aca="1" ref="BN245" ca="1">_FV(EH245,"Volume")</f>
        <v>1988700</v>
      </c>
      <c r="BO245" s="32" cm="1">
        <f t="array" aca="1" ref="BO245" ca="1">_FV(EH245,"Beta")</f>
        <v>1.5987</v>
      </c>
      <c r="BP245" s="86" cm="1">
        <f t="array" aca="1" ref="BP245" ca="1">_FV(EH245,"Variação (%)",TRUE)</f>
        <v>7.7200000000000003E-3</v>
      </c>
      <c r="BQ245" s="48"/>
      <c r="BR245" s="48"/>
      <c r="BT245" s="20" cm="1">
        <f t="array" aca="1" ref="BT245" ca="1">_FV(EH245,"Baixo")</f>
        <v>35.950000000000003</v>
      </c>
      <c r="BU245" s="20" cm="1">
        <f t="array" aca="1" ref="BU245" ca="1">_FV(EH245,"Alto")</f>
        <v>36.979999999999997</v>
      </c>
      <c r="BV245" s="32"/>
      <c r="BW245" s="73" t="e">
        <f ca="1">SQRT(22.5*(BJ245/VLOOKUP(BK245,Fundamentus!A:U,3,FALSE))*(BJ245/VLOOKUP(BK245,Fundamentus!A:U,4,FALSE)))</f>
        <v>#NUM!</v>
      </c>
      <c r="BY245" s="72">
        <f t="shared" ca="1" si="198"/>
        <v>7.7198786876204583E-3</v>
      </c>
      <c r="BZ245" s="8"/>
      <c r="CA245" s="71">
        <f t="shared" si="205"/>
        <v>2.1</v>
      </c>
      <c r="CB245" s="71">
        <f t="shared" si="199"/>
        <v>42.9</v>
      </c>
      <c r="CC245" s="71">
        <f t="shared" si="206"/>
        <v>7.4434426229508199</v>
      </c>
      <c r="CD245" s="17"/>
      <c r="CE245" s="43">
        <f t="shared" si="203"/>
        <v>32.338836378773266</v>
      </c>
      <c r="CF245" s="18">
        <f>FORECAST("04/07/2025", BF245:BI245, $BF$5:$BI$5)</f>
        <v>35.024999999999636</v>
      </c>
      <c r="CG245" s="43">
        <f t="shared" si="204"/>
        <v>37.711163621226007</v>
      </c>
      <c r="CI245" s="17"/>
      <c r="CJ245" s="20">
        <f>CA245-2*(CB245-CM245)</f>
        <v>-29.519999999999989</v>
      </c>
      <c r="CK245" s="20">
        <f>CM245-(CB245-CA245)</f>
        <v>-13.709999999999994</v>
      </c>
      <c r="CL245" s="20">
        <f>2*CM245-CB245</f>
        <v>11.280000000000008</v>
      </c>
      <c r="CM245" s="48">
        <f>(CB245+CA245+BI245)/3</f>
        <v>27.090000000000003</v>
      </c>
      <c r="CN245" s="20">
        <f>2*CM245-CA245</f>
        <v>52.080000000000005</v>
      </c>
      <c r="CO245" s="20">
        <f>CM245+(CB245-CA245)</f>
        <v>67.89</v>
      </c>
      <c r="CP245" s="20">
        <f>CB245+2*(CM245-CA245)</f>
        <v>92.88</v>
      </c>
      <c r="CQ245" s="2" cm="1">
        <f t="array" aca="1" ref="CQ245" ca="1">MAX(_xlfn._xlws.FILTER(CJ245:CP245,CJ245:CP245&lt;BJ245))</f>
        <v>27.090000000000003</v>
      </c>
      <c r="CR245" s="2" cm="1">
        <f t="array" aca="1" ref="CR245" ca="1">MIN(_xlfn._xlws.FILTER($CJ245:$CP245,$CJ245:$CP245&gt;BJ245))</f>
        <v>52.080000000000005</v>
      </c>
      <c r="CS245" s="19">
        <f t="shared" ca="1" si="207"/>
        <v>0.92248062015503862</v>
      </c>
      <c r="CT245" s="23">
        <f t="shared" ca="1" si="208"/>
        <v>-0.46124031007751931</v>
      </c>
      <c r="CU245" s="23">
        <f t="shared" ca="1" si="209"/>
        <v>-0.30749354005167956</v>
      </c>
      <c r="CV245" s="23">
        <f t="shared" ca="1" si="210"/>
        <v>-0.18449612403100774</v>
      </c>
      <c r="CW245" s="23">
        <f t="shared" ca="1" si="211"/>
        <v>-0.10249784668389318</v>
      </c>
      <c r="CX245" s="23">
        <f t="shared" ca="1" si="212"/>
        <v>-5.4263565891472861E-2</v>
      </c>
      <c r="CY245" s="23">
        <f t="shared" ca="1" si="213"/>
        <v>-2.7953958186516321E-2</v>
      </c>
      <c r="CZ245" s="23">
        <f t="shared" ca="1" si="214"/>
        <v>-1.4192009540846748E-2</v>
      </c>
      <c r="DA245" s="24">
        <f t="shared" ca="1" si="215"/>
        <v>1.4192009540846748E-2</v>
      </c>
      <c r="DB245" s="24">
        <f t="shared" ca="1" si="216"/>
        <v>2.7953958186516321E-2</v>
      </c>
      <c r="DC245" s="24">
        <f t="shared" ca="1" si="217"/>
        <v>5.4263565891472861E-2</v>
      </c>
      <c r="DD245" s="24">
        <f t="shared" ca="1" si="218"/>
        <v>0.10249784668389318</v>
      </c>
      <c r="DE245" s="24">
        <f t="shared" ca="1" si="219"/>
        <v>0.18449612403100774</v>
      </c>
      <c r="DF245" s="24">
        <f t="shared" ca="1" si="220"/>
        <v>0.30749354005167956</v>
      </c>
      <c r="DG245" s="24">
        <f t="shared" ca="1" si="221"/>
        <v>0.46124031007751931</v>
      </c>
      <c r="DI245" s="19" cm="1">
        <f t="array" aca="1" ref="DI245" ca="1">MAX(_xlfn._xlws.FILTER(CT245:DG245,CT245:DG245&lt;BP245))</f>
        <v>-1.4192009540846748E-2</v>
      </c>
      <c r="DJ245" s="19" cm="1">
        <f t="array" aca="1" ref="DJ245" ca="1">MIN(_xlfn._xlws.FILTER(CT245:DG245,CT245:DG245&gt;BP245))</f>
        <v>1.4192009540846748E-2</v>
      </c>
      <c r="DK245" s="2" cm="1">
        <f t="array" aca="1" ref="DK245" ca="1">_FV(EH245,"Fechamento anterior",TRUE)</f>
        <v>36.270000000000003</v>
      </c>
      <c r="DL245" s="36">
        <f ca="1">(BJ245-DM245)/(DN245-DM245)</f>
        <v>0.77197975964578691</v>
      </c>
      <c r="DM245" s="18">
        <f t="shared" ca="1" si="222"/>
        <v>35.75525581395349</v>
      </c>
      <c r="DN245" s="18">
        <f t="shared" ca="1" si="223"/>
        <v>36.784744186046517</v>
      </c>
      <c r="DO245" s="9"/>
      <c r="DP245" s="9"/>
      <c r="DQ245" s="94">
        <v>1.3698630136986308E-2</v>
      </c>
      <c r="DR245" s="94">
        <v>1.2901232849722666E-2</v>
      </c>
      <c r="DS245" s="94">
        <v>1.3792699096328272E-2</v>
      </c>
      <c r="DT245" s="94">
        <f t="shared" ca="1" si="200"/>
        <v>2.8384019081693496E-2</v>
      </c>
      <c r="DU245" s="87">
        <f ca="1">(BJ245-CF245)/(CF245-CE245)</f>
        <v>0.56772416540438475</v>
      </c>
      <c r="DV245" s="46"/>
      <c r="DW245" s="43">
        <f>_xlfn.STDEV.P(BF245:BI245)</f>
        <v>1.3430818106131861</v>
      </c>
      <c r="DX245" s="76">
        <f ca="1">BO245-$DT$2</f>
        <v>0.60159999999999991</v>
      </c>
      <c r="DY245" s="76">
        <f ca="1">BO245-BP245*100</f>
        <v>0.82669999999999999</v>
      </c>
      <c r="DZ245" s="101"/>
      <c r="EA245" s="100">
        <v>0.86050000000000004</v>
      </c>
      <c r="EB245" s="107">
        <v>-3.7351999999999999</v>
      </c>
      <c r="EC245" s="107">
        <v>-0.69369999999999998</v>
      </c>
      <c r="ED245" s="98">
        <f t="shared" ca="1" si="196"/>
        <v>-0.22510000000000008</v>
      </c>
      <c r="EE245" s="66"/>
      <c r="EF245" s="66"/>
      <c r="EH245" s="2" t="e" vm="247">
        <v>#VALUE!</v>
      </c>
      <c r="EJ245" s="10" cm="1">
        <f t="array" aca="1" ref="EJ245" ca="1">_FV(EH245,"Ações em circulação",TRUE)</f>
        <v>502630900</v>
      </c>
      <c r="EK245" s="21">
        <f>VLOOKUP(BK245,Fundamentus!A:U,5,FALSE)</f>
        <v>0.66600000000000004</v>
      </c>
      <c r="EL245" s="2">
        <f ca="1">(BJ245*EJ245)/EK245</f>
        <v>27584323415.915913</v>
      </c>
      <c r="EM245" s="20">
        <v>-498188729.61351353</v>
      </c>
      <c r="EN245" s="20">
        <f t="shared" ca="1" si="201"/>
        <v>-502034686.16966963</v>
      </c>
      <c r="EP245" s="19">
        <f t="shared" ca="1" si="197"/>
        <v>7.7198786876204739E-3</v>
      </c>
      <c r="EQ245" s="40" t="str">
        <f>IF(VLOOKUP(BK245,Fundamentus!A:U,3,FALSE)&lt;15,"Bom",IF(VLOOKUP(BK245,Fundamentus!A:U,3,FALSE)&gt;15,"Ruim","n/a"))</f>
        <v>Bom</v>
      </c>
      <c r="ER245" s="36" t="str">
        <f>IF(VLOOKUP(BK245,Fundamentus!A:U,4,FALSE)&lt;1,"Baixo",IF(VLOOKUP(BK245,Fundamentus!A:U,4,FALSE)&lt;1.5,"Moderado",IF(VLOOKUP(BK245,Fundamentus!A:U,4,FALSE)&gt;1.5,"Alto","n/a")))</f>
        <v>Baixo</v>
      </c>
      <c r="ES245" s="20" t="str">
        <f>IF(VLOOKUP(BK245,Fundamentus!A:U,8,FALSE)&lt;0,"Risco elevado",IF(VLOOKUP(BK245,Fundamentus!A:U,8,FALSE)&lt;1,"Saudável",IF(VLOOKUP(BK245,Fundamentus!A:U,8,FALSE)&lt;3,"Estável",IF(VLOOKUP(BK245,Fundamentus!A:U,8,FALSE)&gt;3,"Alerta","n/a"))))</f>
        <v>Alerta</v>
      </c>
      <c r="ET245" s="36" t="str">
        <f t="shared" si="202"/>
        <v>Ruim</v>
      </c>
      <c r="EU245" s="20" t="str">
        <f>IF(VLOOKUP(BK245,Fundamentus!A:U,12,FALSE)&lt;2,"Subvalorizada",IF(VLOOKUP(BK245,Fundamentus!A:U,12,FALSE)&lt;6,"Muita barata",IF(VLOOKUP(BK245,Fundamentus!A:U,12,FALSE)&lt;6,"Barata",IF(VLOOKUP(BK245,Fundamentus!A:U,12,FALSE)&lt;8,"Atrativa",IF(VLOOKUP(BK245,Fundamentus!A:U,12,FALSE)&gt;8,"Supervalorizada","n/a")))))</f>
        <v>Supervalorizada</v>
      </c>
      <c r="EW245" s="20" t="str">
        <f>IF(VLOOKUP(BK245,Fundamentus!A:U,17,FALSE)&lt;0.1,"Fraco retorno",IF(VLOOKUP(BK245,Fundamentus!A:U,17,FALSE)&gt;0.1,"Bom retorno","n/a"))</f>
        <v>Fraco retorno</v>
      </c>
      <c r="EX245" s="20" t="str">
        <f>IF(VLOOKUP(BK245,Fundamentus!A:U,16,FALSE)&lt;0.1,"Ineficiente",IF(VLOOKUP(BK245,Fundamentus!A:U,16,FALSE)&gt;0.1,"Eficiente","n/a"))</f>
        <v>Ineficiente</v>
      </c>
      <c r="EY245" s="41" t="str">
        <f>IF(VLOOKUP(BK245,Fundamentus!A:U,16,FALSE)&lt;0.1,"Oper. Ineficiente",IF(VLOOKUP(BK245,Fundamentus!A:U,16,FALSE)&gt;0.1,"Oper.Eficiente","n/a"))</f>
        <v>Oper. Ineficiente</v>
      </c>
      <c r="EZ245" s="42">
        <f>VLOOKUP(BK245,Fundamentus!A:U,14,FALSE)</f>
        <v>-1.8200000000000001E-2</v>
      </c>
      <c r="FA245" s="20" t="str">
        <f>IF(VLOOKUP(BK245,Fundamentus!A:U,21,FALSE)&lt;0,"Negativo",IF(VLOOKUP(BK245,Fundamentus!A:U,21,FALSE)&lt;0.05,"Fraco",IF(VLOOKUP(BK245,Fundamentus!A:U,21,FALSE)&lt;0.1,"Bom",IF(VLOOKUP(BK245,Fundamentus!A:U,21,FALSE)&gt;0.1,"Muito bom","n/a"))))</f>
        <v>Muito bom</v>
      </c>
      <c r="FC245" s="37" t="str">
        <f>IF(VLOOKUP(BK245,Fundamentus!A:U,15,FALSE)&gt;1,"Bom",IF(VLOOKUP(BK245,Fundamentus!A:U,15,FALSE)&lt;1,"Ruim","n/a"))</f>
        <v>Bom</v>
      </c>
      <c r="FD245" s="20" t="str">
        <f>IF(VLOOKUP(BK245,Fundamentus!A:U,20,FALSE)&lt;0.5,"Baixa",IF(VLOOKUP(BK245,Fundamentus!A:U,20,FALSE)&lt;1,"Moderada",IF(VLOOKUP(BK245,Fundamentus!A:U,20,FALSE)&lt;2,"Alerta",IF(VLOOKUP(BK245,Fundamentus!A:U,20,FALSE)&gt;2,"Alta","n/a"))))</f>
        <v>Baixa</v>
      </c>
    </row>
    <row r="246" spans="1:160" s="2" customFormat="1" ht="11.25" hidden="1"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8">
        <v>2.0099999999999998</v>
      </c>
      <c r="BC246" s="62">
        <v>1.98</v>
      </c>
      <c r="BD246" s="62">
        <v>1.96</v>
      </c>
      <c r="BE246" s="62">
        <v>1.77</v>
      </c>
      <c r="BF246" s="62">
        <v>1.72</v>
      </c>
      <c r="BG246" s="81">
        <v>1.57</v>
      </c>
      <c r="BH246" s="62">
        <v>1.2</v>
      </c>
      <c r="BI246" s="62">
        <v>0.95</v>
      </c>
      <c r="BJ246" s="62" cm="1">
        <f t="array" aca="1" ref="BJ246" ca="1">_FV(EH246,"Preço")</f>
        <v>0.96</v>
      </c>
      <c r="BK246" s="83" t="s">
        <v>242</v>
      </c>
      <c r="BL246" s="44" cm="1">
        <f t="array" aca="1" ref="BL246" ca="1">_FV(EH246,"Média de volume",TRUE)</f>
        <v>1012830</v>
      </c>
      <c r="BM246" s="44">
        <v>1202800</v>
      </c>
      <c r="BN246" s="44" cm="1">
        <f t="array" aca="1" ref="BN246" ca="1">_FV(EH246,"Volume")</f>
        <v>138600</v>
      </c>
      <c r="BO246" s="32" cm="1">
        <f t="array" aca="1" ref="BO246" ca="1">_FV(EH246,"Beta")</f>
        <v>1.8891</v>
      </c>
      <c r="BP246" s="86" cm="1">
        <f t="array" aca="1" ref="BP246" ca="1">_FV(EH246,"Variação (%)",TRUE)</f>
        <v>1.0526000000000001E-2</v>
      </c>
      <c r="BQ246" s="48"/>
      <c r="BR246" s="48"/>
      <c r="BT246" s="20" cm="1">
        <f t="array" aca="1" ref="BT246" ca="1">_FV(EH246,"Baixo")</f>
        <v>0.95</v>
      </c>
      <c r="BU246" s="20" cm="1">
        <f t="array" aca="1" ref="BU246" ca="1">_FV(EH246,"Alto")</f>
        <v>0.97</v>
      </c>
      <c r="BV246" s="32"/>
      <c r="BW246" s="73">
        <f ca="1">SQRT(22.5*(BJ246/VLOOKUP(BK246,Fundamentus!A:U,3,FALSE))*(BJ246/VLOOKUP(BK246,Fundamentus!A:U,4,FALSE)))</f>
        <v>54.426884113328711</v>
      </c>
      <c r="BY246" s="72">
        <f t="shared" ca="1" si="198"/>
        <v>1.0526315789473694E-2</v>
      </c>
      <c r="BZ246" s="8"/>
      <c r="CA246" s="71">
        <f t="shared" si="205"/>
        <v>0.34</v>
      </c>
      <c r="CB246" s="71">
        <f t="shared" si="199"/>
        <v>7.27</v>
      </c>
      <c r="CC246" s="71">
        <f t="shared" si="206"/>
        <v>3.2618032786885225</v>
      </c>
      <c r="CD246" s="17"/>
      <c r="CE246" s="43">
        <f t="shared" si="203"/>
        <v>8.3864701572387235E-2</v>
      </c>
      <c r="CF246" s="18">
        <f>FORECAST("04/07/2025", BF246:BI246, $BF$5:$BI$5)</f>
        <v>0.69000000000005457</v>
      </c>
      <c r="CG246" s="43">
        <f t="shared" si="204"/>
        <v>1.2961352984277219</v>
      </c>
      <c r="CI246" s="17"/>
      <c r="CJ246" s="20">
        <f>CA246-2*(CB246-CM246)</f>
        <v>-8.4933333333333323</v>
      </c>
      <c r="CK246" s="20">
        <f>CM246-(CB246-CA246)</f>
        <v>-4.0766666666666662</v>
      </c>
      <c r="CL246" s="20">
        <f>2*CM246-CB246</f>
        <v>-1.5633333333333335</v>
      </c>
      <c r="CM246" s="48">
        <f>(CB246+CA246+BI246)/3</f>
        <v>2.8533333333333331</v>
      </c>
      <c r="CN246" s="20">
        <f>2*CM246-CA246</f>
        <v>5.3666666666666663</v>
      </c>
      <c r="CO246" s="20">
        <f>CM246+(CB246-CA246)</f>
        <v>9.7833333333333332</v>
      </c>
      <c r="CP246" s="20">
        <f>CB246+2*(CM246-CA246)</f>
        <v>12.296666666666667</v>
      </c>
      <c r="CQ246" s="2" cm="1">
        <f t="array" aca="1" ref="CQ246" ca="1">MAX(_xlfn._xlws.FILTER(CJ246:CP246,CJ246:CP246&lt;BJ246))</f>
        <v>-1.5633333333333335</v>
      </c>
      <c r="CR246" s="2" cm="1">
        <f t="array" aca="1" ref="CR246" ca="1">MIN(_xlfn._xlws.FILTER($CJ246:$CP246,$CJ246:$CP246&gt;BJ246))</f>
        <v>2.8533333333333331</v>
      </c>
      <c r="CS246" s="19">
        <f t="shared" ca="1" si="207"/>
        <v>-2.8251599147121533</v>
      </c>
      <c r="CT246" s="23">
        <f t="shared" ca="1" si="208"/>
        <v>1.4125799573560767</v>
      </c>
      <c r="CU246" s="23">
        <f t="shared" ca="1" si="209"/>
        <v>0.94171997157071774</v>
      </c>
      <c r="CV246" s="23">
        <f t="shared" ca="1" si="210"/>
        <v>0.56503198294243062</v>
      </c>
      <c r="CW246" s="23">
        <f t="shared" ca="1" si="211"/>
        <v>0.31390665719023925</v>
      </c>
      <c r="CX246" s="23">
        <f t="shared" ca="1" si="212"/>
        <v>0.16618587733600901</v>
      </c>
      <c r="CY246" s="23">
        <f t="shared" ca="1" si="213"/>
        <v>8.5610906506428885E-2</v>
      </c>
      <c r="CZ246" s="23">
        <f t="shared" ca="1" si="214"/>
        <v>4.3463998687879285E-2</v>
      </c>
      <c r="DA246" s="24">
        <f t="shared" ca="1" si="215"/>
        <v>-4.3463998687879285E-2</v>
      </c>
      <c r="DB246" s="24">
        <f t="shared" ca="1" si="216"/>
        <v>-8.5610906506428885E-2</v>
      </c>
      <c r="DC246" s="24">
        <f t="shared" ca="1" si="217"/>
        <v>-0.16618587733600901</v>
      </c>
      <c r="DD246" s="24">
        <f t="shared" ca="1" si="218"/>
        <v>-0.31390665719023925</v>
      </c>
      <c r="DE246" s="24">
        <f t="shared" ca="1" si="219"/>
        <v>-0.56503198294243062</v>
      </c>
      <c r="DF246" s="24">
        <f t="shared" ca="1" si="220"/>
        <v>-0.94171997157071774</v>
      </c>
      <c r="DG246" s="24">
        <f t="shared" ca="1" si="221"/>
        <v>-1.4125799573560767</v>
      </c>
      <c r="DI246" s="19" cm="1">
        <f t="array" aca="1" ref="DI246" ca="1">MAX(_xlfn._xlws.FILTER(CT246:DG246,CT246:DG246&lt;BP246))</f>
        <v>-4.3463998687879285E-2</v>
      </c>
      <c r="DJ246" s="19" cm="1">
        <f t="array" aca="1" ref="DJ246" ca="1">MIN(_xlfn._xlws.FILTER(CT246:DG246,CT246:DG246&gt;BP246))</f>
        <v>4.3463998687879285E-2</v>
      </c>
      <c r="DK246" s="2" cm="1">
        <f t="array" aca="1" ref="DK246" ca="1">_FV(EH246,"Fechamento anterior",TRUE)</f>
        <v>0.95</v>
      </c>
      <c r="DL246" s="36">
        <f ca="1">(BJ246-DM246)/(DN246-DM246)</f>
        <v>0.62109235352532288</v>
      </c>
      <c r="DM246" s="18">
        <f t="shared" ca="1" si="222"/>
        <v>0.90870920124651466</v>
      </c>
      <c r="DN246" s="18">
        <f t="shared" ca="1" si="223"/>
        <v>0.99129079875348525</v>
      </c>
      <c r="DO246" s="9"/>
      <c r="DP246" s="9"/>
      <c r="DQ246" s="94">
        <v>7.3136502052164695E-2</v>
      </c>
      <c r="DR246" s="94">
        <v>7.3136502052164695E-2</v>
      </c>
      <c r="DS246" s="94">
        <v>5.4614371136110285E-2</v>
      </c>
      <c r="DT246" s="94">
        <f t="shared" ca="1" si="200"/>
        <v>8.692799737575857E-2</v>
      </c>
      <c r="DU246" s="87">
        <f ca="1">(BJ246-CF246)/(CF246-CE246)</f>
        <v>0.44544510227392015</v>
      </c>
      <c r="DV246" s="46"/>
      <c r="DW246" s="43">
        <f>_xlfn.STDEV.P(BF246:BI246)</f>
        <v>0.30306764921383367</v>
      </c>
      <c r="DX246" s="76">
        <f ca="1">BO246-$DT$2</f>
        <v>0.8919999999999999</v>
      </c>
      <c r="DY246" s="76">
        <f ca="1">BO246-BP246*100</f>
        <v>0.83650000000000002</v>
      </c>
      <c r="DZ246" s="101"/>
      <c r="EA246" s="100">
        <v>-5.4566999999999997</v>
      </c>
      <c r="EB246" s="107">
        <v>-7.1550000000000011</v>
      </c>
      <c r="EC246" s="107">
        <v>1.2446999999999999</v>
      </c>
      <c r="ED246" s="98">
        <f t="shared" ca="1" si="196"/>
        <v>5.5499999999999883E-2</v>
      </c>
      <c r="EE246" s="66"/>
      <c r="EF246" s="66"/>
      <c r="EH246" s="2" t="e" vm="248">
        <v>#VALUE!</v>
      </c>
      <c r="EJ246" s="10" cm="1">
        <f t="array" aca="1" ref="EJ246" ca="1">_FV(EH246,"Ações em circulação",TRUE)</f>
        <v>50311580</v>
      </c>
      <c r="EK246" s="21">
        <f>VLOOKUP(BK246,Fundamentus!A:U,5,FALSE)</f>
        <v>0.10299999999999999</v>
      </c>
      <c r="EL246" s="2">
        <f ca="1">(BJ246*EJ246)/EK246</f>
        <v>468923464.07766992</v>
      </c>
      <c r="EM246" s="20">
        <v>-771418175.36310697</v>
      </c>
      <c r="EN246" s="20">
        <f t="shared" ca="1" si="201"/>
        <v>-779538366.68271852</v>
      </c>
      <c r="EP246" s="19">
        <f t="shared" ca="1" si="197"/>
        <v>1.0526315789473495E-2</v>
      </c>
      <c r="EQ246" s="40" t="str">
        <f>IF(VLOOKUP(BK246,Fundamentus!A:U,3,FALSE)&lt;15,"Bom",IF(VLOOKUP(BK246,Fundamentus!A:U,3,FALSE)&gt;15,"Ruim","n/a"))</f>
        <v>Bom</v>
      </c>
      <c r="ER246" s="36" t="str">
        <f>IF(VLOOKUP(BK246,Fundamentus!A:U,4,FALSE)&lt;1,"Baixo",IF(VLOOKUP(BK246,Fundamentus!A:U,4,FALSE)&lt;1.5,"Moderado",IF(VLOOKUP(BK246,Fundamentus!A:U,4,FALSE)&gt;1.5,"Alto","n/a")))</f>
        <v>Baixo</v>
      </c>
      <c r="ES246" s="20" t="str">
        <f>IF(VLOOKUP(BK246,Fundamentus!A:U,8,FALSE)&lt;0,"Risco elevado",IF(VLOOKUP(BK246,Fundamentus!A:U,8,FALSE)&lt;1,"Saudável",IF(VLOOKUP(BK246,Fundamentus!A:U,8,FALSE)&lt;3,"Estável",IF(VLOOKUP(BK246,Fundamentus!A:U,8,FALSE)&gt;3,"Alerta","n/a"))))</f>
        <v>Risco elevado</v>
      </c>
      <c r="ET246" s="36" t="str">
        <f t="shared" si="202"/>
        <v>Ruim</v>
      </c>
      <c r="EU246" s="20" t="str">
        <f>IF(VLOOKUP(BK246,Fundamentus!A:U,12,FALSE)&lt;2,"Subvalorizada",IF(VLOOKUP(BK246,Fundamentus!A:U,12,FALSE)&lt;6,"Muita barata",IF(VLOOKUP(BK246,Fundamentus!A:U,12,FALSE)&lt;6,"Barata",IF(VLOOKUP(BK246,Fundamentus!A:U,12,FALSE)&lt;8,"Atrativa",IF(VLOOKUP(BK246,Fundamentus!A:U,12,FALSE)&gt;8,"Supervalorizada","n/a")))))</f>
        <v>Subvalorizada</v>
      </c>
      <c r="EW246" s="20" t="str">
        <f>IF(VLOOKUP(BK246,Fundamentus!A:U,17,FALSE)&lt;0.1,"Fraco retorno",IF(VLOOKUP(BK246,Fundamentus!A:U,17,FALSE)&gt;0.1,"Bom retorno","n/a"))</f>
        <v>Bom retorno</v>
      </c>
      <c r="EX246" s="20" t="str">
        <f>IF(VLOOKUP(BK246,Fundamentus!A:U,16,FALSE)&lt;0.1,"Ineficiente",IF(VLOOKUP(BK246,Fundamentus!A:U,16,FALSE)&gt;0.1,"Eficiente","n/a"))</f>
        <v>Ineficiente</v>
      </c>
      <c r="EY246" s="41" t="str">
        <f>IF(VLOOKUP(BK246,Fundamentus!A:U,16,FALSE)&lt;0.1,"Oper. Ineficiente",IF(VLOOKUP(BK246,Fundamentus!A:U,16,FALSE)&gt;0.1,"Oper.Eficiente","n/a"))</f>
        <v>Oper. Ineficiente</v>
      </c>
      <c r="EZ246" s="42">
        <f>VLOOKUP(BK246,Fundamentus!A:U,14,FALSE)</f>
        <v>-1.6624000000000001</v>
      </c>
      <c r="FA246" s="20" t="str">
        <f>IF(VLOOKUP(BK246,Fundamentus!A:U,21,FALSE)&lt;0,"Negativo",IF(VLOOKUP(BK246,Fundamentus!A:U,21,FALSE)&lt;0.05,"Fraco",IF(VLOOKUP(BK246,Fundamentus!A:U,21,FALSE)&lt;0.1,"Bom",IF(VLOOKUP(BK246,Fundamentus!A:U,21,FALSE)&gt;0.1,"Muito bom","n/a"))))</f>
        <v>Negativo</v>
      </c>
      <c r="FC246" s="37" t="str">
        <f>IF(VLOOKUP(BK246,Fundamentus!A:U,15,FALSE)&gt;1,"Bom",IF(VLOOKUP(BK246,Fundamentus!A:U,15,FALSE)&lt;1,"Ruim","n/a"))</f>
        <v>Ruim</v>
      </c>
      <c r="FD246" s="20" t="str">
        <f>IF(VLOOKUP(BK246,Fundamentus!A:U,20,FALSE)&lt;0.5,"Baixa",IF(VLOOKUP(BK246,Fundamentus!A:U,20,FALSE)&lt;1,"Moderada",IF(VLOOKUP(BK246,Fundamentus!A:U,20,FALSE)&lt;2,"Alerta",IF(VLOOKUP(BK246,Fundamentus!A:U,20,FALSE)&gt;2,"Alta","n/a"))))</f>
        <v>Baixa</v>
      </c>
    </row>
    <row r="247" spans="1:160" s="2" customFormat="1" ht="11.25" hidden="1"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8">
        <v>3</v>
      </c>
      <c r="BC247" s="62">
        <v>3.11</v>
      </c>
      <c r="BD247" s="62">
        <v>3.59</v>
      </c>
      <c r="BE247" s="62">
        <v>3.43</v>
      </c>
      <c r="BF247" s="62">
        <v>3.32</v>
      </c>
      <c r="BG247" s="81">
        <v>3.47</v>
      </c>
      <c r="BH247" s="62">
        <v>3.41</v>
      </c>
      <c r="BI247" s="62">
        <v>3.43</v>
      </c>
      <c r="BJ247" s="62" cm="1">
        <f t="array" aca="1" ref="BJ247" ca="1">_FV(EH247,"Preço")</f>
        <v>3.44</v>
      </c>
      <c r="BK247" s="83" t="s">
        <v>243</v>
      </c>
      <c r="BL247" s="44" cm="1">
        <f t="array" aca="1" ref="BL247" ca="1">_FV(EH247,"Média de volume",TRUE)</f>
        <v>514940</v>
      </c>
      <c r="BM247" s="44">
        <v>240500</v>
      </c>
      <c r="BN247" s="44" cm="1">
        <f t="array" aca="1" ref="BN247" ca="1">_FV(EH247,"Volume")</f>
        <v>60000</v>
      </c>
      <c r="BO247" s="32" cm="1">
        <f t="array" aca="1" ref="BO247" ca="1">_FV(EH247,"Beta")</f>
        <v>1.1321000000000001</v>
      </c>
      <c r="BP247" s="86" cm="1">
        <f t="array" aca="1" ref="BP247" ca="1">_FV(EH247,"Variação (%)",TRUE)</f>
        <v>2.9149999999999996E-3</v>
      </c>
      <c r="BQ247" s="48"/>
      <c r="BR247" s="48"/>
      <c r="BT247" s="20" cm="1">
        <f t="array" aca="1" ref="BT247" ca="1">_FV(EH247,"Baixo")</f>
        <v>3.41</v>
      </c>
      <c r="BU247" s="20" cm="1">
        <f t="array" aca="1" ref="BU247" ca="1">_FV(EH247,"Alto")</f>
        <v>3.45</v>
      </c>
      <c r="BV247" s="32"/>
      <c r="BW247" s="73" t="e">
        <f ca="1">SQRT(22.5*(BJ247/VLOOKUP(BK247,Fundamentus!A:U,3,FALSE))*(BJ247/VLOOKUP(BK247,Fundamentus!A:U,4,FALSE)))</f>
        <v>#NUM!</v>
      </c>
      <c r="BY247" s="72">
        <f t="shared" ca="1" si="198"/>
        <v>2.9154518950436693E-3</v>
      </c>
      <c r="BZ247" s="8"/>
      <c r="CA247" s="71">
        <f t="shared" si="205"/>
        <v>2.15</v>
      </c>
      <c r="CB247" s="71">
        <f t="shared" si="199"/>
        <v>3.91</v>
      </c>
      <c r="CC247" s="71">
        <f t="shared" si="206"/>
        <v>3.0069672131147538</v>
      </c>
      <c r="CD247" s="17"/>
      <c r="CE247" s="43">
        <f t="shared" si="203"/>
        <v>3.3651136951208143</v>
      </c>
      <c r="CF247" s="18">
        <f>FORECAST("04/07/2025", BF247:BI247, $BF$5:$BI$5)</f>
        <v>3.4749999999999943</v>
      </c>
      <c r="CG247" s="43">
        <f t="shared" si="204"/>
        <v>3.5848863048791744</v>
      </c>
      <c r="CI247" s="17"/>
      <c r="CJ247" s="20">
        <f>CA247-2*(CB247-CM247)</f>
        <v>0.65666666666666673</v>
      </c>
      <c r="CK247" s="20">
        <f>CM247-(CB247-CA247)</f>
        <v>1.4033333333333333</v>
      </c>
      <c r="CL247" s="20">
        <f>2*CM247-CB247</f>
        <v>2.416666666666667</v>
      </c>
      <c r="CM247" s="48">
        <f>(CB247+CA247+BI247)/3</f>
        <v>3.1633333333333336</v>
      </c>
      <c r="CN247" s="20">
        <f>2*CM247-CA247</f>
        <v>4.1766666666666676</v>
      </c>
      <c r="CO247" s="20">
        <f>CM247+(CB247-CA247)</f>
        <v>4.9233333333333338</v>
      </c>
      <c r="CP247" s="20">
        <f>CB247+2*(CM247-CA247)</f>
        <v>5.9366666666666674</v>
      </c>
      <c r="CQ247" s="2" cm="1">
        <f t="array" aca="1" ref="CQ247" ca="1">MAX(_xlfn._xlws.FILTER(CJ247:CP247,CJ247:CP247&lt;BJ247))</f>
        <v>3.1633333333333336</v>
      </c>
      <c r="CR247" s="2" cm="1">
        <f t="array" aca="1" ref="CR247" ca="1">MIN(_xlfn._xlws.FILTER($CJ247:$CP247,$CJ247:$CP247&gt;BJ247))</f>
        <v>4.1766666666666676</v>
      </c>
      <c r="CS247" s="19">
        <f t="shared" ca="1" si="207"/>
        <v>0.32033719704952612</v>
      </c>
      <c r="CT247" s="23">
        <f t="shared" ca="1" si="208"/>
        <v>-0.16016859852476306</v>
      </c>
      <c r="CU247" s="23">
        <f t="shared" ca="1" si="209"/>
        <v>-0.10677906568317537</v>
      </c>
      <c r="CV247" s="23">
        <f t="shared" ca="1" si="210"/>
        <v>-6.4067439409905225E-2</v>
      </c>
      <c r="CW247" s="23">
        <f t="shared" ca="1" si="211"/>
        <v>-3.5593021894391792E-2</v>
      </c>
      <c r="CX247" s="23">
        <f t="shared" ca="1" si="212"/>
        <v>-1.8843364532325067E-2</v>
      </c>
      <c r="CY247" s="23">
        <f t="shared" ca="1" si="213"/>
        <v>-9.7071877893795799E-3</v>
      </c>
      <c r="CZ247" s="23">
        <f t="shared" ca="1" si="214"/>
        <v>-4.9282645699927092E-3</v>
      </c>
      <c r="DA247" s="24">
        <f t="shared" ca="1" si="215"/>
        <v>4.9282645699927092E-3</v>
      </c>
      <c r="DB247" s="24">
        <f t="shared" ca="1" si="216"/>
        <v>9.7071877893795799E-3</v>
      </c>
      <c r="DC247" s="24">
        <f t="shared" ca="1" si="217"/>
        <v>1.8843364532325067E-2</v>
      </c>
      <c r="DD247" s="24">
        <f t="shared" ca="1" si="218"/>
        <v>3.5593021894391792E-2</v>
      </c>
      <c r="DE247" s="24">
        <f t="shared" ca="1" si="219"/>
        <v>6.4067439409905225E-2</v>
      </c>
      <c r="DF247" s="24">
        <f t="shared" ca="1" si="220"/>
        <v>0.10677906568317537</v>
      </c>
      <c r="DG247" s="24">
        <f t="shared" ca="1" si="221"/>
        <v>0.16016859852476306</v>
      </c>
      <c r="DI247" s="19" cm="1">
        <f t="array" aca="1" ref="DI247" ca="1">MAX(_xlfn._xlws.FILTER(CT247:DG247,CT247:DG247&lt;BP247))</f>
        <v>-4.9282645699927092E-3</v>
      </c>
      <c r="DJ247" s="19" cm="1">
        <f t="array" aca="1" ref="DJ247" ca="1">MIN(_xlfn._xlws.FILTER(CT247:DG247,CT247:DG247&gt;BP247))</f>
        <v>4.9282645699927092E-3</v>
      </c>
      <c r="DK247" s="2" cm="1">
        <f t="array" aca="1" ref="DK247" ca="1">_FV(EH247,"Fechamento anterior",TRUE)</f>
        <v>3.43</v>
      </c>
      <c r="DL247" s="36">
        <f ca="1">(BJ247-DM247)/(DN247-DM247)</f>
        <v>0.79578889826606747</v>
      </c>
      <c r="DM247" s="18">
        <f t="shared" ca="1" si="222"/>
        <v>3.4130960525249252</v>
      </c>
      <c r="DN247" s="18">
        <f t="shared" ca="1" si="223"/>
        <v>3.4469039474750751</v>
      </c>
      <c r="DO247" s="9"/>
      <c r="DP247" s="9"/>
      <c r="DQ247" s="94">
        <v>1.0843373493975902E-2</v>
      </c>
      <c r="DR247" s="94">
        <v>1.8386841916253682E-2</v>
      </c>
      <c r="DS247" s="94">
        <v>1.6898819688770942E-2</v>
      </c>
      <c r="DT247" s="94">
        <f t="shared" ca="1" si="200"/>
        <v>9.8565291399854184E-3</v>
      </c>
      <c r="DU247" s="87">
        <f ca="1">(BJ247-CF247)/(CF247-CE247)</f>
        <v>-0.31851102863525038</v>
      </c>
      <c r="DV247" s="46"/>
      <c r="DW247" s="43">
        <f>_xlfn.STDEV.P(BF247:BI247)</f>
        <v>5.4943152439589915E-2</v>
      </c>
      <c r="DX247" s="76">
        <f ca="1">BO247-$DT$2</f>
        <v>0.13500000000000001</v>
      </c>
      <c r="DY247" s="76">
        <f ca="1">BO247-BP247*100</f>
        <v>0.84060000000000012</v>
      </c>
      <c r="DZ247" s="101"/>
      <c r="EA247" s="100">
        <v>-2.2801</v>
      </c>
      <c r="EB247" s="107">
        <v>1.5359999999999998</v>
      </c>
      <c r="EC247" s="107">
        <v>-0.39880000000000004</v>
      </c>
      <c r="ED247" s="98">
        <f t="shared" ca="1" si="196"/>
        <v>-0.70560000000000012</v>
      </c>
      <c r="EE247" s="66"/>
      <c r="EF247" s="66"/>
      <c r="EH247" s="2" t="e" vm="249">
        <v>#VALUE!</v>
      </c>
      <c r="EJ247" s="10" cm="1">
        <f t="array" aca="1" ref="EJ247" ca="1">_FV(EH247,"Ações em circulação",TRUE)</f>
        <v>406934400</v>
      </c>
      <c r="EK247" s="21">
        <f>VLOOKUP(BK247,Fundamentus!A:U,5,FALSE)</f>
        <v>0.30099999999999999</v>
      </c>
      <c r="EL247" s="2">
        <f ca="1">(BJ247*EJ247)/EK247</f>
        <v>4650678857.1428576</v>
      </c>
      <c r="EM247" s="20">
        <v>-142360794.8651163</v>
      </c>
      <c r="EN247" s="20">
        <f t="shared" ca="1" si="201"/>
        <v>-142775840.91428572</v>
      </c>
      <c r="EP247" s="19">
        <f t="shared" ca="1" si="197"/>
        <v>2.9154518950436081E-3</v>
      </c>
      <c r="EQ247" s="40" t="str">
        <f>IF(VLOOKUP(BK247,Fundamentus!A:U,3,FALSE)&lt;15,"Bom",IF(VLOOKUP(BK247,Fundamentus!A:U,3,FALSE)&gt;15,"Ruim","n/a"))</f>
        <v>Bom</v>
      </c>
      <c r="ER247" s="36" t="str">
        <f>IF(VLOOKUP(BK247,Fundamentus!A:U,4,FALSE)&lt;1,"Baixo",IF(VLOOKUP(BK247,Fundamentus!A:U,4,FALSE)&lt;1.5,"Moderado",IF(VLOOKUP(BK247,Fundamentus!A:U,4,FALSE)&gt;1.5,"Alto","n/a")))</f>
        <v>Baixo</v>
      </c>
      <c r="ES247" s="20" t="str">
        <f>IF(VLOOKUP(BK247,Fundamentus!A:U,8,FALSE)&lt;0,"Risco elevado",IF(VLOOKUP(BK247,Fundamentus!A:U,8,FALSE)&lt;1,"Saudável",IF(VLOOKUP(BK247,Fundamentus!A:U,8,FALSE)&lt;3,"Estável",IF(VLOOKUP(BK247,Fundamentus!A:U,8,FALSE)&gt;3,"Alerta","n/a"))))</f>
        <v>Alerta</v>
      </c>
      <c r="ET247" s="36" t="str">
        <f t="shared" si="202"/>
        <v>Ruim</v>
      </c>
      <c r="EU247" s="20" t="str">
        <f>IF(VLOOKUP(BK247,Fundamentus!A:U,12,FALSE)&lt;2,"Subvalorizada",IF(VLOOKUP(BK247,Fundamentus!A:U,12,FALSE)&lt;6,"Muita barata",IF(VLOOKUP(BK247,Fundamentus!A:U,12,FALSE)&lt;6,"Barata",IF(VLOOKUP(BK247,Fundamentus!A:U,12,FALSE)&lt;8,"Atrativa",IF(VLOOKUP(BK247,Fundamentus!A:U,12,FALSE)&gt;8,"Supervalorizada","n/a")))))</f>
        <v>Muita barata</v>
      </c>
      <c r="EW247" s="20" t="str">
        <f>IF(VLOOKUP(BK247,Fundamentus!A:U,17,FALSE)&lt;0.1,"Fraco retorno",IF(VLOOKUP(BK247,Fundamentus!A:U,17,FALSE)&gt;0.1,"Bom retorno","n/a"))</f>
        <v>Fraco retorno</v>
      </c>
      <c r="EX247" s="20" t="str">
        <f>IF(VLOOKUP(BK247,Fundamentus!A:U,16,FALSE)&lt;0.1,"Ineficiente",IF(VLOOKUP(BK247,Fundamentus!A:U,16,FALSE)&gt;0.1,"Eficiente","n/a"))</f>
        <v>Ineficiente</v>
      </c>
      <c r="EY247" s="41" t="str">
        <f>IF(VLOOKUP(BK247,Fundamentus!A:U,16,FALSE)&lt;0.1,"Oper. Ineficiente",IF(VLOOKUP(BK247,Fundamentus!A:U,16,FALSE)&gt;0.1,"Oper.Eficiente","n/a"))</f>
        <v>Oper. Ineficiente</v>
      </c>
      <c r="EZ247" s="42">
        <f>VLOOKUP(BK247,Fundamentus!A:U,14,FALSE)</f>
        <v>-3.0700000000000002E-2</v>
      </c>
      <c r="FA247" s="20" t="str">
        <f>IF(VLOOKUP(BK247,Fundamentus!A:U,21,FALSE)&lt;0,"Negativo",IF(VLOOKUP(BK247,Fundamentus!A:U,21,FALSE)&lt;0.05,"Fraco",IF(VLOOKUP(BK247,Fundamentus!A:U,21,FALSE)&lt;0.1,"Bom",IF(VLOOKUP(BK247,Fundamentus!A:U,21,FALSE)&gt;0.1,"Muito bom","n/a"))))</f>
        <v>Muito bom</v>
      </c>
      <c r="FC247" s="37" t="str">
        <f>IF(VLOOKUP(BK247,Fundamentus!A:U,15,FALSE)&gt;1,"Bom",IF(VLOOKUP(BK247,Fundamentus!A:U,15,FALSE)&lt;1,"Ruim","n/a"))</f>
        <v>Bom</v>
      </c>
      <c r="FD247" s="20" t="str">
        <f>IF(VLOOKUP(BK247,Fundamentus!A:U,20,FALSE)&lt;0.5,"Baixa",IF(VLOOKUP(BK247,Fundamentus!A:U,20,FALSE)&lt;1,"Moderada",IF(VLOOKUP(BK247,Fundamentus!A:U,20,FALSE)&lt;2,"Alerta",IF(VLOOKUP(BK247,Fundamentus!A:U,20,FALSE)&gt;2,"Alta","n/a"))))</f>
        <v>Moderada</v>
      </c>
    </row>
    <row r="248" spans="1:160" s="2" customFormat="1" ht="11.25" hidden="1"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8">
        <v>2</v>
      </c>
      <c r="BC248" s="62">
        <v>1.81</v>
      </c>
      <c r="BD248" s="62">
        <v>1.65</v>
      </c>
      <c r="BE248" s="62">
        <v>1.62</v>
      </c>
      <c r="BF248" s="62">
        <v>1.66</v>
      </c>
      <c r="BG248" s="81">
        <v>1.75</v>
      </c>
      <c r="BH248" s="62">
        <v>1.68</v>
      </c>
      <c r="BI248" s="62">
        <v>1.64</v>
      </c>
      <c r="BJ248" s="62" cm="1">
        <f t="array" aca="1" ref="BJ248" ca="1">_FV(EH248,"Preço")</f>
        <v>1.75</v>
      </c>
      <c r="BK248" s="83" t="s">
        <v>244</v>
      </c>
      <c r="BL248" s="44" cm="1">
        <f t="array" aca="1" ref="BL248" ca="1">_FV(EH248,"Média de volume",TRUE)</f>
        <v>30000</v>
      </c>
      <c r="BM248" s="44">
        <v>4200</v>
      </c>
      <c r="BN248" s="44" cm="1">
        <f t="array" aca="1" ref="BN248" ca="1">_FV(EH248,"Volume")</f>
        <v>26400</v>
      </c>
      <c r="BO248" s="32" cm="1">
        <f t="array" aca="1" ref="BO248" ca="1">_FV(EH248,"Beta")</f>
        <v>1.8425</v>
      </c>
      <c r="BP248" s="86" cm="1">
        <f t="array" aca="1" ref="BP248" ca="1">_FV(EH248,"Variação (%)",TRUE)</f>
        <v>6.7072999999999994E-2</v>
      </c>
      <c r="BQ248" s="48"/>
      <c r="BR248" s="48"/>
      <c r="BT248" s="20" cm="1">
        <f t="array" aca="1" ref="BT248" ca="1">_FV(EH248,"Baixo")</f>
        <v>1.66</v>
      </c>
      <c r="BU248" s="20" cm="1">
        <f t="array" aca="1" ref="BU248" ca="1">_FV(EH248,"Alto")</f>
        <v>1.78</v>
      </c>
      <c r="BV248" s="32"/>
      <c r="BW248" s="73">
        <f ca="1">SQRT(22.5*(BJ248/VLOOKUP(BK248,Fundamentus!A:U,3,FALSE))*(BJ248/VLOOKUP(BK248,Fundamentus!A:U,4,FALSE)))</f>
        <v>63.665601572037403</v>
      </c>
      <c r="BY248" s="72">
        <f t="shared" ca="1" si="198"/>
        <v>6.7073170731707377E-2</v>
      </c>
      <c r="BZ248" s="8"/>
      <c r="CA248" s="71">
        <f t="shared" si="205"/>
        <v>1.25</v>
      </c>
      <c r="CB248" s="71">
        <f t="shared" si="199"/>
        <v>3.03</v>
      </c>
      <c r="CC248" s="71">
        <f t="shared" si="206"/>
        <v>1.68672131147541</v>
      </c>
      <c r="CD248" s="17"/>
      <c r="CE248" s="43">
        <f t="shared" si="203"/>
        <v>1.5670843802411205</v>
      </c>
      <c r="CF248" s="18">
        <f>FORECAST("04/07/2025", BF248:BI248, $BF$5:$BI$5)</f>
        <v>1.6500000000000057</v>
      </c>
      <c r="CG248" s="43">
        <f t="shared" si="204"/>
        <v>1.7329156197588909</v>
      </c>
      <c r="CI248" s="17"/>
      <c r="CJ248" s="20">
        <f>CA248-2*(CB248-CM248)</f>
        <v>-0.86333333333333373</v>
      </c>
      <c r="CK248" s="20">
        <f>CM248-(CB248-CA248)</f>
        <v>0.19333333333333313</v>
      </c>
      <c r="CL248" s="20">
        <f>2*CM248-CB248</f>
        <v>0.91666666666666607</v>
      </c>
      <c r="CM248" s="48">
        <f>(CB248+CA248+BI248)/3</f>
        <v>1.9733333333333329</v>
      </c>
      <c r="CN248" s="20">
        <f>2*CM248-CA248</f>
        <v>2.6966666666666659</v>
      </c>
      <c r="CO248" s="20">
        <f>CM248+(CB248-CA248)</f>
        <v>3.753333333333333</v>
      </c>
      <c r="CP248" s="20">
        <f>CB248+2*(CM248-CA248)</f>
        <v>4.4766666666666657</v>
      </c>
      <c r="CQ248" s="2" cm="1">
        <f t="array" aca="1" ref="CQ248" ca="1">MAX(_xlfn._xlws.FILTER(CJ248:CP248,CJ248:CP248&lt;BJ248))</f>
        <v>0.91666666666666607</v>
      </c>
      <c r="CR248" s="2" cm="1">
        <f t="array" aca="1" ref="CR248" ca="1">MIN(_xlfn._xlws.FILTER($CJ248:$CP248,$CJ248:$CP248&gt;BJ248))</f>
        <v>1.9733333333333329</v>
      </c>
      <c r="CS248" s="19">
        <f t="shared" ca="1" si="207"/>
        <v>1.1527272727272737</v>
      </c>
      <c r="CT248" s="23">
        <f t="shared" ca="1" si="208"/>
        <v>-0.57636363636363686</v>
      </c>
      <c r="CU248" s="23">
        <f t="shared" ca="1" si="209"/>
        <v>-0.38424242424242455</v>
      </c>
      <c r="CV248" s="23">
        <f t="shared" ca="1" si="210"/>
        <v>-0.23054545454545475</v>
      </c>
      <c r="CW248" s="23">
        <f t="shared" ca="1" si="211"/>
        <v>-0.12808080808080818</v>
      </c>
      <c r="CX248" s="23">
        <f t="shared" ca="1" si="212"/>
        <v>-6.7807486631016101E-2</v>
      </c>
      <c r="CY248" s="23">
        <f t="shared" ca="1" si="213"/>
        <v>-3.4931129476584055E-2</v>
      </c>
      <c r="CZ248" s="23">
        <f t="shared" ca="1" si="214"/>
        <v>-1.7734265734265748E-2</v>
      </c>
      <c r="DA248" s="24">
        <f t="shared" ca="1" si="215"/>
        <v>1.7734265734265748E-2</v>
      </c>
      <c r="DB248" s="24">
        <f t="shared" ca="1" si="216"/>
        <v>3.4931129476584055E-2</v>
      </c>
      <c r="DC248" s="24">
        <f t="shared" ca="1" si="217"/>
        <v>6.7807486631016101E-2</v>
      </c>
      <c r="DD248" s="24">
        <f t="shared" ca="1" si="218"/>
        <v>0.12808080808080818</v>
      </c>
      <c r="DE248" s="24">
        <f t="shared" ca="1" si="219"/>
        <v>0.23054545454545475</v>
      </c>
      <c r="DF248" s="24">
        <f t="shared" ca="1" si="220"/>
        <v>0.38424242424242455</v>
      </c>
      <c r="DG248" s="24">
        <f t="shared" ca="1" si="221"/>
        <v>0.57636363636363686</v>
      </c>
      <c r="DI248" s="19" cm="1">
        <f t="array" aca="1" ref="DI248" ca="1">MAX(_xlfn._xlws.FILTER(CT248:DG248,CT248:DG248&lt;BP248))</f>
        <v>3.4931129476584055E-2</v>
      </c>
      <c r="DJ248" s="19" cm="1">
        <f t="array" aca="1" ref="DJ248" ca="1">MIN(_xlfn._xlws.FILTER(CT248:DG248,CT248:DG248&gt;BP248))</f>
        <v>6.7807486631016101E-2</v>
      </c>
      <c r="DK248" s="2" cm="1">
        <f t="array" aca="1" ref="DK248" ca="1">_FV(EH248,"Fechamento anterior",TRUE)</f>
        <v>1.64</v>
      </c>
      <c r="DL248" s="36">
        <f ca="1">(BJ248-DM248)/(DN248-DM248)</f>
        <v>0.97766431676540899</v>
      </c>
      <c r="DM248" s="18">
        <f t="shared" ca="1" si="222"/>
        <v>1.6972870523415977</v>
      </c>
      <c r="DN248" s="18">
        <f t="shared" ca="1" si="223"/>
        <v>1.7512042780748662</v>
      </c>
      <c r="DO248" s="9"/>
      <c r="DP248" s="9"/>
      <c r="DQ248" s="94">
        <v>5.5603279968762208E-2</v>
      </c>
      <c r="DR248" s="94">
        <v>5.5603279968762208E-2</v>
      </c>
      <c r="DS248" s="94">
        <v>2.938475665748394E-2</v>
      </c>
      <c r="DT248" s="94">
        <f t="shared" ca="1" si="200"/>
        <v>3.2876357154432045E-2</v>
      </c>
      <c r="DU248" s="87">
        <f ca="1">(BJ248-CF248)/(CF248-CE248)</f>
        <v>1.2060453783109835</v>
      </c>
      <c r="DV248" s="46"/>
      <c r="DW248" s="43">
        <f>_xlfn.STDEV.P(BF248:BI248)</f>
        <v>4.1457809879442538E-2</v>
      </c>
      <c r="DX248" s="76">
        <f ca="1">BO248-$DT$2</f>
        <v>0.84539999999999993</v>
      </c>
      <c r="DY248" s="76">
        <f ca="1">BO248-BP248*100</f>
        <v>-4.8647999999999989</v>
      </c>
      <c r="DZ248" s="101"/>
      <c r="EA248" s="100">
        <v>2.0634000000000001</v>
      </c>
      <c r="EB248" s="107">
        <v>-1.6483000000000003</v>
      </c>
      <c r="EC248" s="107">
        <v>2.0442999999999998</v>
      </c>
      <c r="ED248" s="98">
        <f t="shared" ca="1" si="196"/>
        <v>5.7101999999999986</v>
      </c>
      <c r="EE248" s="66"/>
      <c r="EF248" s="66"/>
      <c r="EH248" s="2" t="e" vm="250">
        <v>#VALUE!</v>
      </c>
      <c r="EJ248" s="10" cm="1">
        <f t="array" aca="1" ref="EJ248" ca="1">_FV(EH248,"Ações em circulação",TRUE)</f>
        <v>44605950</v>
      </c>
      <c r="EK248" s="21">
        <f>VLOOKUP(BK248,Fundamentus!A:U,5,FALSE)</f>
        <v>17.733000000000001</v>
      </c>
      <c r="EL248" s="2">
        <f ca="1">(BJ248*EJ248)/EK248</f>
        <v>4401985.704618508</v>
      </c>
      <c r="EM248" s="20">
        <v>-221889419.37634918</v>
      </c>
      <c r="EN248" s="20">
        <f t="shared" ca="1" si="201"/>
        <v>-236772246.28573844</v>
      </c>
      <c r="EP248" s="19">
        <f t="shared" ca="1" si="197"/>
        <v>6.7073170731707155E-2</v>
      </c>
      <c r="EQ248" s="40" t="str">
        <f>IF(VLOOKUP(BK248,Fundamentus!A:U,3,FALSE)&lt;15,"Bom",IF(VLOOKUP(BK248,Fundamentus!A:U,3,FALSE)&gt;15,"Ruim","n/a"))</f>
        <v>Bom</v>
      </c>
      <c r="ER248" s="36" t="str">
        <f>IF(VLOOKUP(BK248,Fundamentus!A:U,4,FALSE)&lt;1,"Baixo",IF(VLOOKUP(BK248,Fundamentus!A:U,4,FALSE)&lt;1.5,"Moderado",IF(VLOOKUP(BK248,Fundamentus!A:U,4,FALSE)&gt;1.5,"Alto","n/a")))</f>
        <v>Baixo</v>
      </c>
      <c r="ES248" s="20" t="str">
        <f>IF(VLOOKUP(BK248,Fundamentus!A:U,8,FALSE)&lt;0,"Risco elevado",IF(VLOOKUP(BK248,Fundamentus!A:U,8,FALSE)&lt;1,"Saudável",IF(VLOOKUP(BK248,Fundamentus!A:U,8,FALSE)&lt;3,"Estável",IF(VLOOKUP(BK248,Fundamentus!A:U,8,FALSE)&gt;3,"Alerta","n/a"))))</f>
        <v>Risco elevado</v>
      </c>
      <c r="ET248" s="36" t="str">
        <f t="shared" si="202"/>
        <v>Bom</v>
      </c>
      <c r="EU248" s="20" t="str">
        <f>IF(VLOOKUP(BK248,Fundamentus!A:U,12,FALSE)&lt;2,"Subvalorizada",IF(VLOOKUP(BK248,Fundamentus!A:U,12,FALSE)&lt;6,"Muita barata",IF(VLOOKUP(BK248,Fundamentus!A:U,12,FALSE)&lt;6,"Barata",IF(VLOOKUP(BK248,Fundamentus!A:U,12,FALSE)&lt;8,"Atrativa",IF(VLOOKUP(BK248,Fundamentus!A:U,12,FALSE)&gt;8,"Supervalorizada","n/a")))))</f>
        <v>Subvalorizada</v>
      </c>
      <c r="EW248" s="20" t="str">
        <f>IF(VLOOKUP(BK248,Fundamentus!A:U,17,FALSE)&lt;0.1,"Fraco retorno",IF(VLOOKUP(BK248,Fundamentus!A:U,17,FALSE)&gt;0.1,"Bom retorno","n/a"))</f>
        <v>Bom retorno</v>
      </c>
      <c r="EX248" s="20" t="str">
        <f>IF(VLOOKUP(BK248,Fundamentus!A:U,16,FALSE)&lt;0.1,"Ineficiente",IF(VLOOKUP(BK248,Fundamentus!A:U,16,FALSE)&gt;0.1,"Eficiente","n/a"))</f>
        <v>Ineficiente</v>
      </c>
      <c r="EY248" s="41" t="str">
        <f>IF(VLOOKUP(BK248,Fundamentus!A:U,16,FALSE)&lt;0.1,"Oper. Ineficiente",IF(VLOOKUP(BK248,Fundamentus!A:U,16,FALSE)&gt;0.1,"Oper.Eficiente","n/a"))</f>
        <v>Oper. Ineficiente</v>
      </c>
      <c r="EZ248" s="42">
        <f>VLOOKUP(BK248,Fundamentus!A:U,14,FALSE)</f>
        <v>-53.787599999999998</v>
      </c>
      <c r="FA248" s="20" t="str">
        <f>IF(VLOOKUP(BK248,Fundamentus!A:U,21,FALSE)&lt;0,"Negativo",IF(VLOOKUP(BK248,Fundamentus!A:U,21,FALSE)&lt;0.05,"Fraco",IF(VLOOKUP(BK248,Fundamentus!A:U,21,FALSE)&lt;0.1,"Bom",IF(VLOOKUP(BK248,Fundamentus!A:U,21,FALSE)&gt;0.1,"Muito bom","n/a"))))</f>
        <v>Negativo</v>
      </c>
      <c r="FC248" s="37" t="str">
        <f>IF(VLOOKUP(BK248,Fundamentus!A:U,15,FALSE)&gt;1,"Bom",IF(VLOOKUP(BK248,Fundamentus!A:U,15,FALSE)&lt;1,"Ruim","n/a"))</f>
        <v>Ruim</v>
      </c>
      <c r="FD248" s="20" t="str">
        <f>IF(VLOOKUP(BK248,Fundamentus!A:U,20,FALSE)&lt;0.5,"Baixa",IF(VLOOKUP(BK248,Fundamentus!A:U,20,FALSE)&lt;1,"Moderada",IF(VLOOKUP(BK248,Fundamentus!A:U,20,FALSE)&lt;2,"Alerta",IF(VLOOKUP(BK248,Fundamentus!A:U,20,FALSE)&gt;2,"Alta","n/a"))))</f>
        <v>Baixa</v>
      </c>
    </row>
    <row r="249" spans="1:160" s="2" customFormat="1" ht="11.25" hidden="1"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8">
        <v>0.65</v>
      </c>
      <c r="BC249" s="62">
        <v>0.66</v>
      </c>
      <c r="BD249" s="62">
        <v>0.63</v>
      </c>
      <c r="BE249" s="62">
        <v>0.63</v>
      </c>
      <c r="BF249" s="62">
        <v>0.67</v>
      </c>
      <c r="BG249" s="81">
        <v>0.71</v>
      </c>
      <c r="BH249" s="62">
        <v>0.63</v>
      </c>
      <c r="BI249" s="62">
        <v>0.64</v>
      </c>
      <c r="BJ249" s="62" cm="1">
        <f t="array" aca="1" ref="BJ249" ca="1">_FV(EH249,"Preço")</f>
        <v>0.64</v>
      </c>
      <c r="BK249" s="83" t="s">
        <v>245</v>
      </c>
      <c r="BL249" s="44" cm="1">
        <f t="array" aca="1" ref="BL249" ca="1">_FV(EH249,"Média de volume",TRUE)</f>
        <v>50050</v>
      </c>
      <c r="BM249" s="44">
        <v>1005800</v>
      </c>
      <c r="BN249" s="44" cm="1">
        <f t="array" aca="1" ref="BN249" ca="1">_FV(EH249,"Volume")</f>
        <v>675900</v>
      </c>
      <c r="BO249" s="32" cm="1">
        <f t="array" aca="1" ref="BO249" ca="1">_FV(EH249,"Beta")</f>
        <v>1.7779</v>
      </c>
      <c r="BP249" s="86" cm="1">
        <f t="array" aca="1" ref="BP249" ca="1">_FV(EH249,"Variação (%)",TRUE)</f>
        <v>0</v>
      </c>
      <c r="BQ249" s="48"/>
      <c r="BR249" s="48"/>
      <c r="BT249" s="20" cm="1">
        <f t="array" aca="1" ref="BT249" ca="1">_FV(EH249,"Baixo")</f>
        <v>0.63</v>
      </c>
      <c r="BU249" s="20" cm="1">
        <f t="array" aca="1" ref="BU249" ca="1">_FV(EH249,"Alto")</f>
        <v>0.65</v>
      </c>
      <c r="BV249" s="32"/>
      <c r="BW249" s="73" t="e">
        <f ca="1">SQRT(22.5*(BJ249/VLOOKUP(BK249,Fundamentus!A:U,3,FALSE))*(BJ249/VLOOKUP(BK249,Fundamentus!A:U,4,FALSE)))</f>
        <v>#NUM!</v>
      </c>
      <c r="BY249" s="72">
        <f t="shared" ca="1" si="198"/>
        <v>0</v>
      </c>
      <c r="BZ249" s="8"/>
      <c r="CA249" s="71">
        <f t="shared" si="205"/>
        <v>0.48</v>
      </c>
      <c r="CB249" s="71">
        <f t="shared" si="199"/>
        <v>6.24</v>
      </c>
      <c r="CC249" s="71">
        <f t="shared" si="206"/>
        <v>2.3009016393442612</v>
      </c>
      <c r="CD249" s="17"/>
      <c r="CE249" s="43">
        <f t="shared" si="203"/>
        <v>0.55775050201004672</v>
      </c>
      <c r="CF249" s="18">
        <f>FORECAST("04/07/2025", BF249:BI249, $BF$5:$BI$5)</f>
        <v>0.61999999999999034</v>
      </c>
      <c r="CG249" s="43">
        <f t="shared" si="204"/>
        <v>0.68224949798993395</v>
      </c>
      <c r="CI249" s="17"/>
      <c r="CJ249" s="20">
        <f>CA249-2*(CB249-CM249)</f>
        <v>-7.0933333333333337</v>
      </c>
      <c r="CK249" s="20">
        <f>CM249-(CB249-CA249)</f>
        <v>-3.3066666666666662</v>
      </c>
      <c r="CL249" s="20">
        <f>2*CM249-CB249</f>
        <v>-1.333333333333333</v>
      </c>
      <c r="CM249" s="48">
        <f>(CB249+CA249+BI249)/3</f>
        <v>2.4533333333333336</v>
      </c>
      <c r="CN249" s="20">
        <f>2*CM249-CA249</f>
        <v>4.4266666666666676</v>
      </c>
      <c r="CO249" s="20">
        <f>CM249+(CB249-CA249)</f>
        <v>8.2133333333333329</v>
      </c>
      <c r="CP249" s="20">
        <f>CB249+2*(CM249-CA249)</f>
        <v>10.186666666666667</v>
      </c>
      <c r="CQ249" s="2" cm="1">
        <f t="array" aca="1" ref="CQ249" ca="1">MAX(_xlfn._xlws.FILTER(CJ249:CP249,CJ249:CP249&lt;BJ249))</f>
        <v>-1.333333333333333</v>
      </c>
      <c r="CR249" s="2" cm="1">
        <f t="array" aca="1" ref="CR249" ca="1">MIN(_xlfn._xlws.FILTER($CJ249:$CP249,$CJ249:$CP249&gt;BJ249))</f>
        <v>2.4533333333333336</v>
      </c>
      <c r="CS249" s="19">
        <f t="shared" ca="1" si="207"/>
        <v>-2.8400000000000007</v>
      </c>
      <c r="CT249" s="23">
        <f t="shared" ca="1" si="208"/>
        <v>1.4200000000000004</v>
      </c>
      <c r="CU249" s="23">
        <f t="shared" ca="1" si="209"/>
        <v>0.94666666666666688</v>
      </c>
      <c r="CV249" s="23">
        <f t="shared" ca="1" si="210"/>
        <v>0.56800000000000017</v>
      </c>
      <c r="CW249" s="23">
        <f t="shared" ca="1" si="211"/>
        <v>0.31555555555555564</v>
      </c>
      <c r="CX249" s="23">
        <f t="shared" ca="1" si="212"/>
        <v>0.16705882352941182</v>
      </c>
      <c r="CY249" s="23">
        <f t="shared" ca="1" si="213"/>
        <v>8.6060606060606087E-2</v>
      </c>
      <c r="CZ249" s="23">
        <f t="shared" ca="1" si="214"/>
        <v>4.3692307692307704E-2</v>
      </c>
      <c r="DA249" s="24">
        <f t="shared" ca="1" si="215"/>
        <v>-4.3692307692307704E-2</v>
      </c>
      <c r="DB249" s="24">
        <f t="shared" ca="1" si="216"/>
        <v>-8.6060606060606087E-2</v>
      </c>
      <c r="DC249" s="24">
        <f t="shared" ca="1" si="217"/>
        <v>-0.16705882352941182</v>
      </c>
      <c r="DD249" s="24">
        <f t="shared" ca="1" si="218"/>
        <v>-0.31555555555555564</v>
      </c>
      <c r="DE249" s="24">
        <f t="shared" ca="1" si="219"/>
        <v>-0.56800000000000017</v>
      </c>
      <c r="DF249" s="24">
        <f t="shared" ca="1" si="220"/>
        <v>-0.94666666666666688</v>
      </c>
      <c r="DG249" s="24">
        <f t="shared" ca="1" si="221"/>
        <v>-1.4200000000000004</v>
      </c>
      <c r="DI249" s="19" cm="1">
        <f t="array" aca="1" ref="DI249" ca="1">MAX(_xlfn._xlws.FILTER(CT249:DG249,CT249:DG249&lt;BP249))</f>
        <v>-4.3692307692307704E-2</v>
      </c>
      <c r="DJ249" s="19" cm="1">
        <f t="array" aca="1" ref="DJ249" ca="1">MIN(_xlfn._xlws.FILTER(CT249:DG249,CT249:DG249&gt;BP249))</f>
        <v>4.3692307692307704E-2</v>
      </c>
      <c r="DK249" s="2" cm="1">
        <f t="array" aca="1" ref="DK249" ca="1">_FV(EH249,"Fechamento anterior",TRUE)</f>
        <v>0.64</v>
      </c>
      <c r="DL249" s="36">
        <f ca="1">(BJ249-DM249)/(DN249-DM249)</f>
        <v>0.5</v>
      </c>
      <c r="DM249" s="18">
        <f t="shared" ca="1" si="222"/>
        <v>0.61203692307692303</v>
      </c>
      <c r="DN249" s="18">
        <f t="shared" ca="1" si="223"/>
        <v>0.66796307692307699</v>
      </c>
      <c r="DO249" s="9"/>
      <c r="DP249" s="9"/>
      <c r="DQ249" s="94">
        <v>9.0777285541683489E-2</v>
      </c>
      <c r="DR249" s="94">
        <v>9.0777285541683489E-2</v>
      </c>
      <c r="DS249" s="94">
        <v>8.999601434834599E-2</v>
      </c>
      <c r="DT249" s="94">
        <f t="shared" ca="1" si="200"/>
        <v>8.7384615384615408E-2</v>
      </c>
      <c r="DU249" s="87">
        <f ca="1">(BJ249-CF249)/(CF249-CE249)</f>
        <v>0.32128773156115525</v>
      </c>
      <c r="DV249" s="46"/>
      <c r="DW249" s="43">
        <f>_xlfn.STDEV.P(BF249:BI249)</f>
        <v>3.1124748994971814E-2</v>
      </c>
      <c r="DX249" s="76">
        <f ca="1">BO249-$DT$2</f>
        <v>0.78079999999999994</v>
      </c>
      <c r="DY249" s="76">
        <f ca="1">BO249-BP249*100</f>
        <v>1.7779</v>
      </c>
      <c r="DZ249" s="101"/>
      <c r="EA249" s="100">
        <v>-2.6863999999999999</v>
      </c>
      <c r="EB249" s="107">
        <v>-1.835</v>
      </c>
      <c r="EC249" s="107">
        <v>0.18090000000000006</v>
      </c>
      <c r="ED249" s="98">
        <f t="shared" ca="1" si="196"/>
        <v>-0.9971000000000001</v>
      </c>
      <c r="EE249" s="66"/>
      <c r="EF249" s="66"/>
      <c r="EH249" s="2" t="e" vm="251">
        <v>#VALUE!</v>
      </c>
      <c r="EJ249" s="10" cm="1">
        <f t="array" aca="1" ref="EJ249" ca="1">_FV(EH249,"Ações em circulação",TRUE)</f>
        <v>330121700</v>
      </c>
      <c r="EK249" s="21">
        <f>VLOOKUP(BK249,Fundamentus!A:U,5,FALSE)</f>
        <v>0.14099999999999999</v>
      </c>
      <c r="EL249" s="2">
        <f ca="1">(BJ249*EJ249)/EK249</f>
        <v>1498424737.5886526</v>
      </c>
      <c r="EM249" s="20">
        <v>12698100753.747519</v>
      </c>
      <c r="EN249" s="20">
        <f t="shared" ca="1" si="201"/>
        <v>12698100753.747519</v>
      </c>
      <c r="EP249" s="19">
        <f t="shared" ca="1" si="197"/>
        <v>0</v>
      </c>
      <c r="EQ249" s="40" t="str">
        <f>IF(VLOOKUP(BK249,Fundamentus!A:U,3,FALSE)&lt;15,"Bom",IF(VLOOKUP(BK249,Fundamentus!A:U,3,FALSE)&gt;15,"Ruim","n/a"))</f>
        <v>Bom</v>
      </c>
      <c r="ER249" s="36" t="str">
        <f>IF(VLOOKUP(BK249,Fundamentus!A:U,4,FALSE)&lt;1,"Baixo",IF(VLOOKUP(BK249,Fundamentus!A:U,4,FALSE)&lt;1.5,"Moderado",IF(VLOOKUP(BK249,Fundamentus!A:U,4,FALSE)&gt;1.5,"Alto","n/a")))</f>
        <v>Baixo</v>
      </c>
      <c r="ES249" s="20" t="str">
        <f>IF(VLOOKUP(BK249,Fundamentus!A:U,8,FALSE)&lt;0,"Risco elevado",IF(VLOOKUP(BK249,Fundamentus!A:U,8,FALSE)&lt;1,"Saudável",IF(VLOOKUP(BK249,Fundamentus!A:U,8,FALSE)&lt;3,"Estável",IF(VLOOKUP(BK249,Fundamentus!A:U,8,FALSE)&gt;3,"Alerta","n/a"))))</f>
        <v>Risco elevado</v>
      </c>
      <c r="ET249" s="36" t="str">
        <f t="shared" si="202"/>
        <v>Ruim</v>
      </c>
      <c r="EU249" s="20" t="str">
        <f>IF(VLOOKUP(BK249,Fundamentus!A:U,12,FALSE)&lt;2,"Subvalorizada",IF(VLOOKUP(BK249,Fundamentus!A:U,12,FALSE)&lt;6,"Muita barata",IF(VLOOKUP(BK249,Fundamentus!A:U,12,FALSE)&lt;6,"Barata",IF(VLOOKUP(BK249,Fundamentus!A:U,12,FALSE)&lt;8,"Atrativa",IF(VLOOKUP(BK249,Fundamentus!A:U,12,FALSE)&gt;8,"Supervalorizada","n/a")))))</f>
        <v>Subvalorizada</v>
      </c>
      <c r="EW249" s="20" t="str">
        <f>IF(VLOOKUP(BK249,Fundamentus!A:U,17,FALSE)&lt;0.1,"Fraco retorno",IF(VLOOKUP(BK249,Fundamentus!A:U,17,FALSE)&gt;0.1,"Bom retorno","n/a"))</f>
        <v>Fraco retorno</v>
      </c>
      <c r="EX249" s="20" t="str">
        <f>IF(VLOOKUP(BK249,Fundamentus!A:U,16,FALSE)&lt;0.1,"Ineficiente",IF(VLOOKUP(BK249,Fundamentus!A:U,16,FALSE)&gt;0.1,"Eficiente","n/a"))</f>
        <v>Ineficiente</v>
      </c>
      <c r="EY249" s="41" t="str">
        <f>IF(VLOOKUP(BK249,Fundamentus!A:U,16,FALSE)&lt;0.1,"Oper. Ineficiente",IF(VLOOKUP(BK249,Fundamentus!A:U,16,FALSE)&gt;0.1,"Oper.Eficiente","n/a"))</f>
        <v>Oper. Ineficiente</v>
      </c>
      <c r="EZ249" s="42">
        <f>VLOOKUP(BK249,Fundamentus!A:U,14,FALSE)</f>
        <v>8.4742999999999995</v>
      </c>
      <c r="FA249" s="20" t="str">
        <f>IF(VLOOKUP(BK249,Fundamentus!A:U,21,FALSE)&lt;0,"Negativo",IF(VLOOKUP(BK249,Fundamentus!A:U,21,FALSE)&lt;0.05,"Fraco",IF(VLOOKUP(BK249,Fundamentus!A:U,21,FALSE)&lt;0.1,"Bom",IF(VLOOKUP(BK249,Fundamentus!A:U,21,FALSE)&gt;0.1,"Muito bom","n/a"))))</f>
        <v>Negativo</v>
      </c>
      <c r="FC249" s="37" t="str">
        <f>IF(VLOOKUP(BK249,Fundamentus!A:U,15,FALSE)&gt;1,"Bom",IF(VLOOKUP(BK249,Fundamentus!A:U,15,FALSE)&lt;1,"Ruim","n/a"))</f>
        <v>Ruim</v>
      </c>
      <c r="FD249" s="20" t="str">
        <f>IF(VLOOKUP(BK249,Fundamentus!A:U,20,FALSE)&lt;0.5,"Baixa",IF(VLOOKUP(BK249,Fundamentus!A:U,20,FALSE)&lt;1,"Moderada",IF(VLOOKUP(BK249,Fundamentus!A:U,20,FALSE)&lt;2,"Alerta",IF(VLOOKUP(BK249,Fundamentus!A:U,20,FALSE)&gt;2,"Alta","n/a"))))</f>
        <v>Baixa</v>
      </c>
    </row>
    <row r="250" spans="1:160" s="2" customFormat="1" ht="11.25" hidden="1"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8">
        <v>7.99</v>
      </c>
      <c r="BC250" s="62">
        <v>7.72</v>
      </c>
      <c r="BD250" s="62">
        <v>8.02</v>
      </c>
      <c r="BE250" s="62">
        <v>8.23</v>
      </c>
      <c r="BF250" s="62">
        <v>8.06</v>
      </c>
      <c r="BG250" s="81">
        <v>8.1199999999999992</v>
      </c>
      <c r="BH250" s="62">
        <v>7.28</v>
      </c>
      <c r="BI250" s="62">
        <v>6.74</v>
      </c>
      <c r="BJ250" s="62" cm="1">
        <f t="array" aca="1" ref="BJ250" ca="1">_FV(EH250,"Preço")</f>
        <v>6.78</v>
      </c>
      <c r="BK250" s="83" t="s">
        <v>246</v>
      </c>
      <c r="BL250" s="44" cm="1">
        <f t="array" aca="1" ref="BL250" ca="1">_FV(EH250,"Média de volume",TRUE)</f>
        <v>21638070</v>
      </c>
      <c r="BM250" s="44">
        <v>16119200</v>
      </c>
      <c r="BN250" s="44" cm="1">
        <f t="array" aca="1" ref="BN250" ca="1">_FV(EH250,"Volume")</f>
        <v>6086400</v>
      </c>
      <c r="BO250" s="32" cm="1">
        <f t="array" aca="1" ref="BO250" ca="1">_FV(EH250,"Beta")</f>
        <v>1.2478</v>
      </c>
      <c r="BP250" s="86" cm="1">
        <f t="array" aca="1" ref="BP250" ca="1">_FV(EH250,"Variação (%)",TRUE)</f>
        <v>5.9350000000000002E-3</v>
      </c>
      <c r="BQ250" s="48"/>
      <c r="BR250" s="48"/>
      <c r="BT250" s="20" cm="1">
        <f t="array" aca="1" ref="BT250" ca="1">_FV(EH250,"Baixo")</f>
        <v>6.69</v>
      </c>
      <c r="BU250" s="20" cm="1">
        <f t="array" aca="1" ref="BU250" ca="1">_FV(EH250,"Alto")</f>
        <v>6.82</v>
      </c>
      <c r="BV250" s="32"/>
      <c r="BW250" s="73" t="e">
        <f ca="1">SQRT(22.5*(BJ250/VLOOKUP(BK250,Fundamentus!A:U,3,FALSE))*(BJ250/VLOOKUP(BK250,Fundamentus!A:U,4,FALSE)))</f>
        <v>#NUM!</v>
      </c>
      <c r="BY250" s="72">
        <f t="shared" ca="1" si="198"/>
        <v>5.9347181008902131E-3</v>
      </c>
      <c r="BZ250" s="8"/>
      <c r="CA250" s="71">
        <f t="shared" si="205"/>
        <v>6.74</v>
      </c>
      <c r="CB250" s="71">
        <f t="shared" si="199"/>
        <v>14.74</v>
      </c>
      <c r="CC250" s="71">
        <f t="shared" si="206"/>
        <v>10.420491803278688</v>
      </c>
      <c r="CD250" s="17"/>
      <c r="CE250" s="43">
        <f t="shared" si="203"/>
        <v>5.2037016095277959</v>
      </c>
      <c r="CF250" s="18">
        <f>FORECAST("04/07/2025", BF250:BI250, $BF$5:$BI$5)</f>
        <v>6.3500000000003638</v>
      </c>
      <c r="CG250" s="43">
        <f t="shared" si="204"/>
        <v>7.4962983904729317</v>
      </c>
      <c r="CI250" s="17"/>
      <c r="CJ250" s="20">
        <f>CA250-2*(CB250-CM250)</f>
        <v>-3.9266666666666676</v>
      </c>
      <c r="CK250" s="20">
        <f>CM250-(CB250-CA250)</f>
        <v>1.4066666666666663</v>
      </c>
      <c r="CL250" s="20">
        <f>2*CM250-CB250</f>
        <v>4.0733333333333324</v>
      </c>
      <c r="CM250" s="48">
        <f>(CB250+CA250+BI250)/3</f>
        <v>9.4066666666666663</v>
      </c>
      <c r="CN250" s="20">
        <f>2*CM250-CA250</f>
        <v>12.073333333333332</v>
      </c>
      <c r="CO250" s="20">
        <f>CM250+(CB250-CA250)</f>
        <v>17.406666666666666</v>
      </c>
      <c r="CP250" s="20">
        <f>CB250+2*(CM250-CA250)</f>
        <v>20.073333333333331</v>
      </c>
      <c r="CQ250" s="2" cm="1">
        <f t="array" aca="1" ref="CQ250" ca="1">MAX(_xlfn._xlws.FILTER(CJ250:CP250,CJ250:CP250&lt;BJ250))</f>
        <v>4.0733333333333324</v>
      </c>
      <c r="CR250" s="2" cm="1">
        <f t="array" aca="1" ref="CR250" ca="1">MIN(_xlfn._xlws.FILTER($CJ250:$CP250,$CJ250:$CP250&gt;BJ250))</f>
        <v>9.4066666666666663</v>
      </c>
      <c r="CS250" s="19">
        <f t="shared" ca="1" si="207"/>
        <v>1.3093289689034373</v>
      </c>
      <c r="CT250" s="23">
        <f t="shared" ca="1" si="208"/>
        <v>-0.65466448445171865</v>
      </c>
      <c r="CU250" s="23">
        <f t="shared" ca="1" si="209"/>
        <v>-0.43644298963447908</v>
      </c>
      <c r="CV250" s="23">
        <f t="shared" ca="1" si="210"/>
        <v>-0.26186579378068747</v>
      </c>
      <c r="CW250" s="23">
        <f t="shared" ca="1" si="211"/>
        <v>-0.14548099654482638</v>
      </c>
      <c r="CX250" s="23">
        <f t="shared" ca="1" si="212"/>
        <v>-7.7019351111966894E-2</v>
      </c>
      <c r="CY250" s="23">
        <f t="shared" ca="1" si="213"/>
        <v>-3.9676635421316282E-2</v>
      </c>
      <c r="CZ250" s="23">
        <f t="shared" ca="1" si="214"/>
        <v>-2.0143522598514419E-2</v>
      </c>
      <c r="DA250" s="24">
        <f t="shared" ca="1" si="215"/>
        <v>2.0143522598514419E-2</v>
      </c>
      <c r="DB250" s="24">
        <f t="shared" ca="1" si="216"/>
        <v>3.9676635421316282E-2</v>
      </c>
      <c r="DC250" s="24">
        <f t="shared" ca="1" si="217"/>
        <v>7.7019351111966894E-2</v>
      </c>
      <c r="DD250" s="24">
        <f t="shared" ca="1" si="218"/>
        <v>0.14548099654482638</v>
      </c>
      <c r="DE250" s="24">
        <f t="shared" ca="1" si="219"/>
        <v>0.26186579378068747</v>
      </c>
      <c r="DF250" s="24">
        <f t="shared" ca="1" si="220"/>
        <v>0.43644298963447908</v>
      </c>
      <c r="DG250" s="24">
        <f t="shared" ca="1" si="221"/>
        <v>0.65466448445171865</v>
      </c>
      <c r="DI250" s="19" cm="1">
        <f t="array" aca="1" ref="DI250" ca="1">MAX(_xlfn._xlws.FILTER(CT250:DG250,CT250:DG250&lt;BP250))</f>
        <v>-2.0143522598514419E-2</v>
      </c>
      <c r="DJ250" s="19" cm="1">
        <f t="array" aca="1" ref="DJ250" ca="1">MIN(_xlfn._xlws.FILTER(CT250:DG250,CT250:DG250&gt;BP250))</f>
        <v>2.0143522598514419E-2</v>
      </c>
      <c r="DK250" s="2" cm="1">
        <f t="array" aca="1" ref="DK250" ca="1">_FV(EH250,"Fechamento anterior",TRUE)</f>
        <v>6.74</v>
      </c>
      <c r="DL250" s="36">
        <f ca="1">(BJ250-DM250)/(DN250-DM250)</f>
        <v>0.64731083086053409</v>
      </c>
      <c r="DM250" s="18">
        <f t="shared" ca="1" si="222"/>
        <v>6.6042326576860129</v>
      </c>
      <c r="DN250" s="18">
        <f t="shared" ca="1" si="223"/>
        <v>6.8757673423139876</v>
      </c>
      <c r="DO250" s="9"/>
      <c r="DP250" s="9"/>
      <c r="DQ250" s="94">
        <v>1.7119492529328595E-2</v>
      </c>
      <c r="DR250" s="94">
        <v>3.5308953341740223E-2</v>
      </c>
      <c r="DS250" s="94">
        <v>1.3711919231816536E-2</v>
      </c>
      <c r="DT250" s="94">
        <f t="shared" ca="1" si="200"/>
        <v>4.0287045197028838E-2</v>
      </c>
      <c r="DU250" s="87">
        <f ca="1">(BJ250-CF250)/(CF250-CE250)</f>
        <v>0.37512047785600272</v>
      </c>
      <c r="DV250" s="46"/>
      <c r="DW250" s="43">
        <f>_xlfn.STDEV.P(BF250:BI250)</f>
        <v>0.57314919523628383</v>
      </c>
      <c r="DX250" s="76">
        <f ca="1">BO250-$DT$2</f>
        <v>0.25069999999999992</v>
      </c>
      <c r="DY250" s="76">
        <f ca="1">BO250-BP250*100</f>
        <v>0.65429999999999999</v>
      </c>
      <c r="DZ250" s="101"/>
      <c r="EA250" s="100">
        <v>-3.4927999999999999</v>
      </c>
      <c r="EB250" s="107">
        <v>-9.1028999999999982</v>
      </c>
      <c r="EC250" s="107">
        <v>-2.2793000000000001</v>
      </c>
      <c r="ED250" s="98">
        <f t="shared" ca="1" si="196"/>
        <v>-0.40360000000000007</v>
      </c>
      <c r="EE250" s="66"/>
      <c r="EF250" s="66"/>
      <c r="EH250" s="2" t="e" vm="252">
        <v>#VALUE!</v>
      </c>
      <c r="EJ250" s="10" cm="1">
        <f t="array" aca="1" ref="EJ250" ca="1">_FV(EH250,"Ações em circulação",TRUE)</f>
        <v>1866571000</v>
      </c>
      <c r="EK250" s="21">
        <f>VLOOKUP(BK250,Fundamentus!A:U,5,FALSE)</f>
        <v>0.34599999999999997</v>
      </c>
      <c r="EL250" s="2">
        <f ca="1">(BJ250*EJ250)/EK250</f>
        <v>36576160057.803474</v>
      </c>
      <c r="EM250" s="20">
        <v>-8606499934.7341042</v>
      </c>
      <c r="EN250" s="20">
        <f t="shared" ca="1" si="201"/>
        <v>-8657577085.6820812</v>
      </c>
      <c r="EP250" s="19">
        <f t="shared" ca="1" si="197"/>
        <v>5.9347181008901906E-3</v>
      </c>
      <c r="EQ250" s="40" t="str">
        <f>IF(VLOOKUP(BK250,Fundamentus!A:U,3,FALSE)&lt;15,"Bom",IF(VLOOKUP(BK250,Fundamentus!A:U,3,FALSE)&gt;15,"Ruim","n/a"))</f>
        <v>Bom</v>
      </c>
      <c r="ER250" s="36" t="str">
        <f>IF(VLOOKUP(BK250,Fundamentus!A:U,4,FALSE)&lt;1,"Baixo",IF(VLOOKUP(BK250,Fundamentus!A:U,4,FALSE)&lt;1.5,"Moderado",IF(VLOOKUP(BK250,Fundamentus!A:U,4,FALSE)&gt;1.5,"Alto","n/a")))</f>
        <v>Alto</v>
      </c>
      <c r="ES250" s="20" t="str">
        <f>IF(VLOOKUP(BK250,Fundamentus!A:U,8,FALSE)&lt;0,"Risco elevado",IF(VLOOKUP(BK250,Fundamentus!A:U,8,FALSE)&lt;1,"Saudável",IF(VLOOKUP(BK250,Fundamentus!A:U,8,FALSE)&lt;3,"Estável",IF(VLOOKUP(BK250,Fundamentus!A:U,8,FALSE)&gt;3,"Alerta","n/a"))))</f>
        <v>Estável</v>
      </c>
      <c r="ET250" s="36" t="str">
        <f t="shared" si="202"/>
        <v>Ruim</v>
      </c>
      <c r="EU250" s="20" t="str">
        <f>IF(VLOOKUP(BK250,Fundamentus!A:U,12,FALSE)&lt;2,"Subvalorizada",IF(VLOOKUP(BK250,Fundamentus!A:U,12,FALSE)&lt;6,"Muita barata",IF(VLOOKUP(BK250,Fundamentus!A:U,12,FALSE)&lt;6,"Barata",IF(VLOOKUP(BK250,Fundamentus!A:U,12,FALSE)&lt;8,"Atrativa",IF(VLOOKUP(BK250,Fundamentus!A:U,12,FALSE)&gt;8,"Supervalorizada","n/a")))))</f>
        <v>Muita barata</v>
      </c>
      <c r="EW250" s="20" t="str">
        <f>IF(VLOOKUP(BK250,Fundamentus!A:U,17,FALSE)&lt;0.1,"Fraco retorno",IF(VLOOKUP(BK250,Fundamentus!A:U,17,FALSE)&gt;0.1,"Bom retorno","n/a"))</f>
        <v>Fraco retorno</v>
      </c>
      <c r="EX250" s="20" t="str">
        <f>IF(VLOOKUP(BK250,Fundamentus!A:U,16,FALSE)&lt;0.1,"Ineficiente",IF(VLOOKUP(BK250,Fundamentus!A:U,16,FALSE)&gt;0.1,"Eficiente","n/a"))</f>
        <v>Ineficiente</v>
      </c>
      <c r="EY250" s="41" t="str">
        <f>IF(VLOOKUP(BK250,Fundamentus!A:U,16,FALSE)&lt;0.1,"Oper. Ineficiente",IF(VLOOKUP(BK250,Fundamentus!A:U,16,FALSE)&gt;0.1,"Oper.Eficiente","n/a"))</f>
        <v>Oper. Ineficiente</v>
      </c>
      <c r="EZ250" s="42">
        <f>VLOOKUP(BK250,Fundamentus!A:U,14,FALSE)</f>
        <v>-0.23669999999999999</v>
      </c>
      <c r="FA250" s="20" t="str">
        <f>IF(VLOOKUP(BK250,Fundamentus!A:U,21,FALSE)&lt;0,"Negativo",IF(VLOOKUP(BK250,Fundamentus!A:U,21,FALSE)&lt;0.05,"Fraco",IF(VLOOKUP(BK250,Fundamentus!A:U,21,FALSE)&lt;0.1,"Bom",IF(VLOOKUP(BK250,Fundamentus!A:U,21,FALSE)&gt;0.1,"Muito bom","n/a"))))</f>
        <v>Muito bom</v>
      </c>
      <c r="FC250" s="37" t="str">
        <f>IF(VLOOKUP(BK250,Fundamentus!A:U,15,FALSE)&gt;1,"Bom",IF(VLOOKUP(BK250,Fundamentus!A:U,15,FALSE)&lt;1,"Ruim","n/a"))</f>
        <v>Bom</v>
      </c>
      <c r="FD250" s="20" t="str">
        <f>IF(VLOOKUP(BK250,Fundamentus!A:U,20,FALSE)&lt;0.5,"Baixa",IF(VLOOKUP(BK250,Fundamentus!A:U,20,FALSE)&lt;1,"Moderada",IF(VLOOKUP(BK250,Fundamentus!A:U,20,FALSE)&lt;2,"Alerta",IF(VLOOKUP(BK250,Fundamentus!A:U,20,FALSE)&gt;2,"Alta","n/a"))))</f>
        <v>Alta</v>
      </c>
    </row>
    <row r="251" spans="1:160" s="2" customFormat="1" ht="11.25" hidden="1"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8">
        <v>11.18</v>
      </c>
      <c r="BC251" s="62">
        <v>10.65</v>
      </c>
      <c r="BD251" s="62">
        <v>10.99</v>
      </c>
      <c r="BE251" s="62">
        <v>11.65</v>
      </c>
      <c r="BF251" s="62">
        <v>10.97</v>
      </c>
      <c r="BG251" s="81">
        <v>11.01</v>
      </c>
      <c r="BH251" s="62">
        <v>10.4</v>
      </c>
      <c r="BI251" s="62">
        <v>9.5</v>
      </c>
      <c r="BJ251" s="62" cm="1">
        <f t="array" aca="1" ref="BJ251" ca="1">_FV(EH251,"Preço")</f>
        <v>9.5500000000000007</v>
      </c>
      <c r="BK251" s="83" t="s">
        <v>247</v>
      </c>
      <c r="BL251" s="44" cm="1">
        <f t="array" aca="1" ref="BL251" ca="1">_FV(EH251,"Média de volume",TRUE)</f>
        <v>3725820</v>
      </c>
      <c r="BM251" s="44">
        <v>28500</v>
      </c>
      <c r="BN251" s="44" cm="1">
        <f t="array" aca="1" ref="BN251" ca="1">_FV(EH251,"Volume")</f>
        <v>8700</v>
      </c>
      <c r="BO251" s="32" cm="1">
        <f t="array" aca="1" ref="BO251" ca="1">_FV(EH251,"Beta")</f>
        <v>1.0548999999999999</v>
      </c>
      <c r="BP251" s="86" cm="1">
        <f t="array" aca="1" ref="BP251" ca="1">_FV(EH251,"Variação (%)",TRUE)</f>
        <v>5.2630000000000003E-3</v>
      </c>
      <c r="BQ251" s="48"/>
      <c r="BR251" s="48"/>
      <c r="BT251" s="20" cm="1">
        <f t="array" aca="1" ref="BT251" ca="1">_FV(EH251,"Baixo")</f>
        <v>9.5</v>
      </c>
      <c r="BU251" s="20" cm="1">
        <f t="array" aca="1" ref="BU251" ca="1">_FV(EH251,"Alto")</f>
        <v>9.57</v>
      </c>
      <c r="BV251" s="32"/>
      <c r="BW251" s="73">
        <f ca="1">SQRT(22.5*(BJ251/VLOOKUP(BK251,Fundamentus!A:U,3,FALSE))*(BJ251/VLOOKUP(BK251,Fundamentus!A:U,4,FALSE)))</f>
        <v>32.303356868730511</v>
      </c>
      <c r="BY251" s="72">
        <f t="shared" ca="1" si="198"/>
        <v>5.2631578947369166E-3</v>
      </c>
      <c r="BZ251" s="8"/>
      <c r="CA251" s="71">
        <f t="shared" si="205"/>
        <v>9.5</v>
      </c>
      <c r="CB251" s="71">
        <f t="shared" si="199"/>
        <v>22.31</v>
      </c>
      <c r="CC251" s="71">
        <f t="shared" si="206"/>
        <v>14.998524590163932</v>
      </c>
      <c r="CD251" s="17"/>
      <c r="CE251" s="43">
        <f t="shared" si="203"/>
        <v>7.9954099049267597</v>
      </c>
      <c r="CF251" s="18">
        <f>FORECAST("04/07/2025", BF251:BI251, $BF$5:$BI$5)</f>
        <v>9.2149999999996908</v>
      </c>
      <c r="CG251" s="43">
        <f t="shared" si="204"/>
        <v>10.434590095072622</v>
      </c>
      <c r="CI251" s="17"/>
      <c r="CJ251" s="20">
        <f>CA251-2*(CB251-CM251)</f>
        <v>-7.5799999999999947</v>
      </c>
      <c r="CK251" s="20">
        <f>CM251-(CB251-CA251)</f>
        <v>0.96000000000000263</v>
      </c>
      <c r="CL251" s="20">
        <f>2*CM251-CB251</f>
        <v>5.230000000000004</v>
      </c>
      <c r="CM251" s="48">
        <f>(CB251+CA251+BI251)/3</f>
        <v>13.770000000000001</v>
      </c>
      <c r="CN251" s="20">
        <f>2*CM251-CA251</f>
        <v>18.040000000000003</v>
      </c>
      <c r="CO251" s="20">
        <f>CM251+(CB251-CA251)</f>
        <v>26.58</v>
      </c>
      <c r="CP251" s="20">
        <f>CB251+2*(CM251-CA251)</f>
        <v>30.85</v>
      </c>
      <c r="CQ251" s="2" cm="1">
        <f t="array" aca="1" ref="CQ251" ca="1">MAX(_xlfn._xlws.FILTER(CJ251:CP251,CJ251:CP251&lt;BJ251))</f>
        <v>5.230000000000004</v>
      </c>
      <c r="CR251" s="2" cm="1">
        <f t="array" aca="1" ref="CR251" ca="1">MIN(_xlfn._xlws.FILTER($CJ251:$CP251,$CJ251:$CP251&gt;BJ251))</f>
        <v>13.770000000000001</v>
      </c>
      <c r="CS251" s="19">
        <f t="shared" ca="1" si="207"/>
        <v>1.6328871892925414</v>
      </c>
      <c r="CT251" s="23">
        <f t="shared" ca="1" si="208"/>
        <v>-0.8164435946462707</v>
      </c>
      <c r="CU251" s="23">
        <f t="shared" ca="1" si="209"/>
        <v>-0.5442957297641805</v>
      </c>
      <c r="CV251" s="23">
        <f t="shared" ca="1" si="210"/>
        <v>-0.32657743785850829</v>
      </c>
      <c r="CW251" s="23">
        <f t="shared" ca="1" si="211"/>
        <v>-0.18143190992139349</v>
      </c>
      <c r="CX251" s="23">
        <f t="shared" ca="1" si="212"/>
        <v>-9.6052187605443609E-2</v>
      </c>
      <c r="CY251" s="23">
        <f t="shared" ca="1" si="213"/>
        <v>-4.9481429978561864E-2</v>
      </c>
      <c r="CZ251" s="23">
        <f t="shared" ca="1" si="214"/>
        <v>-2.5121341373731405E-2</v>
      </c>
      <c r="DA251" s="24">
        <f t="shared" ca="1" si="215"/>
        <v>2.5121341373731405E-2</v>
      </c>
      <c r="DB251" s="24">
        <f t="shared" ca="1" si="216"/>
        <v>4.9481429978561864E-2</v>
      </c>
      <c r="DC251" s="24">
        <f t="shared" ca="1" si="217"/>
        <v>9.6052187605443609E-2</v>
      </c>
      <c r="DD251" s="24">
        <f t="shared" ca="1" si="218"/>
        <v>0.18143190992139349</v>
      </c>
      <c r="DE251" s="24">
        <f t="shared" ca="1" si="219"/>
        <v>0.32657743785850829</v>
      </c>
      <c r="DF251" s="24">
        <f t="shared" ca="1" si="220"/>
        <v>0.5442957297641805</v>
      </c>
      <c r="DG251" s="24">
        <f t="shared" ca="1" si="221"/>
        <v>0.8164435946462707</v>
      </c>
      <c r="DI251" s="19" cm="1">
        <f t="array" aca="1" ref="DI251" ca="1">MAX(_xlfn._xlws.FILTER(CT251:DG251,CT251:DG251&lt;BP251))</f>
        <v>-2.5121341373731405E-2</v>
      </c>
      <c r="DJ251" s="19" cm="1">
        <f t="array" aca="1" ref="DJ251" ca="1">MIN(_xlfn._xlws.FILTER(CT251:DG251,CT251:DG251&gt;BP251))</f>
        <v>2.5121341373731405E-2</v>
      </c>
      <c r="DK251" s="2" cm="1">
        <f t="array" aca="1" ref="DK251" ca="1">_FV(EH251,"Fechamento anterior",TRUE)</f>
        <v>9.5</v>
      </c>
      <c r="DL251" s="36">
        <f ca="1">(BJ251-DM251)/(DN251-DM251)</f>
        <v>0.60475471465549302</v>
      </c>
      <c r="DM251" s="18">
        <f t="shared" ca="1" si="222"/>
        <v>9.2613472569495521</v>
      </c>
      <c r="DN251" s="18">
        <f t="shared" ca="1" si="223"/>
        <v>9.7386527430504479</v>
      </c>
      <c r="DO251" s="9"/>
      <c r="DP251" s="9"/>
      <c r="DQ251" s="94">
        <v>3.615911138983758E-2</v>
      </c>
      <c r="DR251" s="94">
        <v>3.9010118249420925E-2</v>
      </c>
      <c r="DS251" s="94">
        <v>3.5264293011464706E-2</v>
      </c>
      <c r="DT251" s="94">
        <f t="shared" ca="1" si="200"/>
        <v>5.0242682747462811E-2</v>
      </c>
      <c r="DU251" s="87">
        <f ca="1">(BJ251-CF251)/(CF251-CE251)</f>
        <v>0.27468245384550871</v>
      </c>
      <c r="DV251" s="46"/>
      <c r="DW251" s="43">
        <f>_xlfn.STDEV.P(BF251:BI251)</f>
        <v>0.60979504753646541</v>
      </c>
      <c r="DX251" s="76">
        <f ca="1">BO251-$DT$2</f>
        <v>5.7799999999999851E-2</v>
      </c>
      <c r="DY251" s="76">
        <f ca="1">BO251-BP251*100</f>
        <v>0.52859999999999996</v>
      </c>
      <c r="DZ251" s="101"/>
      <c r="EA251" s="100">
        <v>-2.5764000000000005</v>
      </c>
      <c r="EB251" s="107">
        <v>-2.5508999999999999</v>
      </c>
      <c r="EC251" s="107">
        <v>-0.75759999999999983</v>
      </c>
      <c r="ED251" s="98">
        <f t="shared" ref="ED251:ED271" ca="1" si="224">DX251-DY251</f>
        <v>-0.47080000000000011</v>
      </c>
      <c r="EE251" s="66"/>
      <c r="EF251" s="66"/>
      <c r="EH251" s="2" t="e" vm="253">
        <v>#VALUE!</v>
      </c>
      <c r="EJ251" s="10" cm="1">
        <f t="array" aca="1" ref="EJ251" ca="1">_FV(EH251,"Ações em circulação",TRUE)</f>
        <v>797207800</v>
      </c>
      <c r="EK251" s="21">
        <f>VLOOKUP(BK251,Fundamentus!A:U,5,FALSE)</f>
        <v>0.111</v>
      </c>
      <c r="EL251" s="2">
        <f ca="1">(BJ251*EJ251)/EK251</f>
        <v>68588599009.009018</v>
      </c>
      <c r="EM251" s="20">
        <v>-8665146042.3423424</v>
      </c>
      <c r="EN251" s="20">
        <f t="shared" ca="1" si="201"/>
        <v>-8710752074.144146</v>
      </c>
      <c r="EP251" s="19">
        <f t="shared" ca="1" si="197"/>
        <v>5.2631578947370805E-3</v>
      </c>
      <c r="EQ251" s="40" t="str">
        <f>IF(VLOOKUP(BK251,Fundamentus!A:U,3,FALSE)&lt;15,"Bom",IF(VLOOKUP(BK251,Fundamentus!A:U,3,FALSE)&gt;15,"Ruim","n/a"))</f>
        <v>Bom</v>
      </c>
      <c r="ER251" s="36" t="str">
        <f>IF(VLOOKUP(BK251,Fundamentus!A:U,4,FALSE)&lt;1,"Baixo",IF(VLOOKUP(BK251,Fundamentus!A:U,4,FALSE)&lt;1.5,"Moderado",IF(VLOOKUP(BK251,Fundamentus!A:U,4,FALSE)&gt;1.5,"Alto","n/a")))</f>
        <v>Baixo</v>
      </c>
      <c r="ES251" s="20" t="str">
        <f>IF(VLOOKUP(BK251,Fundamentus!A:U,8,FALSE)&lt;0,"Risco elevado",IF(VLOOKUP(BK251,Fundamentus!A:U,8,FALSE)&lt;1,"Saudável",IF(VLOOKUP(BK251,Fundamentus!A:U,8,FALSE)&lt;3,"Estável",IF(VLOOKUP(BK251,Fundamentus!A:U,8,FALSE)&gt;3,"Alerta","n/a"))))</f>
        <v>Estável</v>
      </c>
      <c r="ET251" s="36" t="str">
        <f t="shared" si="202"/>
        <v>Ruim</v>
      </c>
      <c r="EU251" s="20" t="str">
        <f>IF(VLOOKUP(BK251,Fundamentus!A:U,12,FALSE)&lt;2,"Subvalorizada",IF(VLOOKUP(BK251,Fundamentus!A:U,12,FALSE)&lt;6,"Muita barata",IF(VLOOKUP(BK251,Fundamentus!A:U,12,FALSE)&lt;6,"Barata",IF(VLOOKUP(BK251,Fundamentus!A:U,12,FALSE)&lt;8,"Atrativa",IF(VLOOKUP(BK251,Fundamentus!A:U,12,FALSE)&gt;8,"Supervalorizada","n/a")))))</f>
        <v>Atrativa</v>
      </c>
      <c r="EW251" s="20" t="str">
        <f>IF(VLOOKUP(BK251,Fundamentus!A:U,17,FALSE)&lt;0.1,"Fraco retorno",IF(VLOOKUP(BK251,Fundamentus!A:U,17,FALSE)&gt;0.1,"Bom retorno","n/a"))</f>
        <v>Bom retorno</v>
      </c>
      <c r="EX251" s="20" t="str">
        <f>IF(VLOOKUP(BK251,Fundamentus!A:U,16,FALSE)&lt;0.1,"Ineficiente",IF(VLOOKUP(BK251,Fundamentus!A:U,16,FALSE)&gt;0.1,"Eficiente","n/a"))</f>
        <v>Ineficiente</v>
      </c>
      <c r="EY251" s="41" t="str">
        <f>IF(VLOOKUP(BK251,Fundamentus!A:U,16,FALSE)&lt;0.1,"Oper. Ineficiente",IF(VLOOKUP(BK251,Fundamentus!A:U,16,FALSE)&gt;0.1,"Oper.Eficiente","n/a"))</f>
        <v>Oper. Ineficiente</v>
      </c>
      <c r="EZ251" s="42">
        <f>VLOOKUP(BK251,Fundamentus!A:U,14,FALSE)</f>
        <v>-0.127</v>
      </c>
      <c r="FA251" s="20" t="str">
        <f>IF(VLOOKUP(BK251,Fundamentus!A:U,21,FALSE)&lt;0,"Negativo",IF(VLOOKUP(BK251,Fundamentus!A:U,21,FALSE)&lt;0.05,"Fraco",IF(VLOOKUP(BK251,Fundamentus!A:U,21,FALSE)&lt;0.1,"Bom",IF(VLOOKUP(BK251,Fundamentus!A:U,21,FALSE)&gt;0.1,"Muito bom","n/a"))))</f>
        <v>Negativo</v>
      </c>
      <c r="FC251" s="37" t="str">
        <f>IF(VLOOKUP(BK251,Fundamentus!A:U,15,FALSE)&gt;1,"Bom",IF(VLOOKUP(BK251,Fundamentus!A:U,15,FALSE)&lt;1,"Ruim","n/a"))</f>
        <v>Bom</v>
      </c>
      <c r="FD251" s="20" t="str">
        <f>IF(VLOOKUP(BK251,Fundamentus!A:U,20,FALSE)&lt;0.5,"Baixa",IF(VLOOKUP(BK251,Fundamentus!A:U,20,FALSE)&lt;1,"Moderada",IF(VLOOKUP(BK251,Fundamentus!A:U,20,FALSE)&lt;2,"Alerta",IF(VLOOKUP(BK251,Fundamentus!A:U,20,FALSE)&gt;2,"Alta","n/a"))))</f>
        <v>Baixa</v>
      </c>
    </row>
    <row r="252" spans="1:160" s="2" customFormat="1" ht="11.25" hidden="1"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8">
        <v>0.72</v>
      </c>
      <c r="BC252" s="62">
        <v>0.74</v>
      </c>
      <c r="BD252" s="62">
        <v>0.7</v>
      </c>
      <c r="BE252" s="62">
        <v>7</v>
      </c>
      <c r="BF252" s="62">
        <v>6.41</v>
      </c>
      <c r="BG252" s="81">
        <v>6.5</v>
      </c>
      <c r="BH252" s="62">
        <v>6.7</v>
      </c>
      <c r="BI252" s="62">
        <v>6.44</v>
      </c>
      <c r="BJ252" s="62" cm="1">
        <f t="array" aca="1" ref="BJ252" ca="1">_FV(EH252,"Preço")</f>
        <v>6.45</v>
      </c>
      <c r="BK252" s="83" t="s">
        <v>248</v>
      </c>
      <c r="BL252" s="44" cm="1">
        <f t="array" aca="1" ref="BL252" ca="1">_FV(EH252,"Média de volume",TRUE)</f>
        <v>19750</v>
      </c>
      <c r="BM252" s="44">
        <v>18200</v>
      </c>
      <c r="BN252" s="44" cm="1">
        <f t="array" aca="1" ref="BN252" ca="1">_FV(EH252,"Volume")</f>
        <v>7600</v>
      </c>
      <c r="BO252" s="32" cm="1">
        <f t="array" aca="1" ref="BO252" ca="1">_FV(EH252,"Beta")</f>
        <v>1.8523000000000001</v>
      </c>
      <c r="BP252" s="86" cm="1">
        <f t="array" aca="1" ref="BP252" ca="1">_FV(EH252,"Variação (%)",TRUE)</f>
        <v>1.5529999999999999E-3</v>
      </c>
      <c r="BQ252" s="48"/>
      <c r="BR252" s="48"/>
      <c r="BT252" s="20" cm="1">
        <f t="array" aca="1" ref="BT252" ca="1">_FV(EH252,"Baixo")</f>
        <v>6.42</v>
      </c>
      <c r="BU252" s="20" cm="1">
        <f t="array" aca="1" ref="BU252" ca="1">_FV(EH252,"Alto")</f>
        <v>6.51</v>
      </c>
      <c r="BV252" s="32"/>
      <c r="BW252" s="73" t="e">
        <f ca="1">SQRT(22.5*(BJ252/VLOOKUP(BK252,Fundamentus!A:U,3,FALSE))*(BJ252/VLOOKUP(BK252,Fundamentus!A:U,4,FALSE)))</f>
        <v>#NUM!</v>
      </c>
      <c r="BY252" s="72">
        <f t="shared" ca="1" si="198"/>
        <v>1.5527950310558673E-3</v>
      </c>
      <c r="BZ252" s="8"/>
      <c r="CA252" s="71">
        <f t="shared" si="205"/>
        <v>0.63</v>
      </c>
      <c r="CB252" s="71">
        <f t="shared" si="199"/>
        <v>7</v>
      </c>
      <c r="CC252" s="71">
        <f t="shared" si="206"/>
        <v>1.5104918032786885</v>
      </c>
      <c r="CD252" s="17"/>
      <c r="CE252" s="43">
        <f t="shared" si="203"/>
        <v>6.3590022124001893</v>
      </c>
      <c r="CF252" s="18">
        <f>FORECAST("04/07/2025", BF252:BI252, $BF$5:$BI$5)</f>
        <v>6.5849999999999795</v>
      </c>
      <c r="CG252" s="43">
        <f t="shared" si="204"/>
        <v>6.8109977875997698</v>
      </c>
      <c r="CI252" s="17"/>
      <c r="CJ252" s="20">
        <f>CA252-2*(CB252-CM252)</f>
        <v>-3.9899999999999993</v>
      </c>
      <c r="CK252" s="20">
        <f>CM252-(CB252-CA252)</f>
        <v>-1.6799999999999997</v>
      </c>
      <c r="CL252" s="20">
        <f>2*CM252-CB252</f>
        <v>2.3800000000000008</v>
      </c>
      <c r="CM252" s="48">
        <f>(CB252+CA252+BI252)/3</f>
        <v>4.6900000000000004</v>
      </c>
      <c r="CN252" s="20">
        <f>2*CM252-CA252</f>
        <v>8.75</v>
      </c>
      <c r="CO252" s="20">
        <f>CM252+(CB252-CA252)</f>
        <v>11.06</v>
      </c>
      <c r="CP252" s="20">
        <f>CB252+2*(CM252-CA252)</f>
        <v>15.120000000000001</v>
      </c>
      <c r="CQ252" s="2" cm="1">
        <f t="array" aca="1" ref="CQ252" ca="1">MAX(_xlfn._xlws.FILTER(CJ252:CP252,CJ252:CP252&lt;BJ252))</f>
        <v>4.6900000000000004</v>
      </c>
      <c r="CR252" s="2" cm="1">
        <f t="array" aca="1" ref="CR252" ca="1">MIN(_xlfn._xlws.FILTER($CJ252:$CP252,$CJ252:$CP252&gt;BJ252))</f>
        <v>8.75</v>
      </c>
      <c r="CS252" s="19">
        <f t="shared" ca="1" si="207"/>
        <v>0.86567164179104461</v>
      </c>
      <c r="CT252" s="23">
        <f t="shared" ca="1" si="208"/>
        <v>-0.43283582089552231</v>
      </c>
      <c r="CU252" s="23">
        <f t="shared" ca="1" si="209"/>
        <v>-0.28855721393034822</v>
      </c>
      <c r="CV252" s="23">
        <f t="shared" ca="1" si="210"/>
        <v>-0.17313432835820891</v>
      </c>
      <c r="CW252" s="23">
        <f t="shared" ca="1" si="211"/>
        <v>-9.6185737976782731E-2</v>
      </c>
      <c r="CX252" s="23">
        <f t="shared" ca="1" si="212"/>
        <v>-5.0921861281826152E-2</v>
      </c>
      <c r="CY252" s="23">
        <f t="shared" ca="1" si="213"/>
        <v>-2.6232473993668019E-2</v>
      </c>
      <c r="CZ252" s="23">
        <f t="shared" ca="1" si="214"/>
        <v>-1.3318025258323762E-2</v>
      </c>
      <c r="DA252" s="24">
        <f t="shared" ca="1" si="215"/>
        <v>1.3318025258323762E-2</v>
      </c>
      <c r="DB252" s="24">
        <f t="shared" ca="1" si="216"/>
        <v>2.6232473993668019E-2</v>
      </c>
      <c r="DC252" s="24">
        <f t="shared" ca="1" si="217"/>
        <v>5.0921861281826152E-2</v>
      </c>
      <c r="DD252" s="24">
        <f t="shared" ca="1" si="218"/>
        <v>9.6185737976782731E-2</v>
      </c>
      <c r="DE252" s="24">
        <f t="shared" ca="1" si="219"/>
        <v>0.17313432835820891</v>
      </c>
      <c r="DF252" s="24">
        <f t="shared" ca="1" si="220"/>
        <v>0.28855721393034822</v>
      </c>
      <c r="DG252" s="24">
        <f t="shared" ca="1" si="221"/>
        <v>0.43283582089552231</v>
      </c>
      <c r="DI252" s="19" cm="1">
        <f t="array" aca="1" ref="DI252" ca="1">MAX(_xlfn._xlws.FILTER(CT252:DG252,CT252:DG252&lt;BP252))</f>
        <v>-1.3318025258323762E-2</v>
      </c>
      <c r="DJ252" s="19" cm="1">
        <f t="array" aca="1" ref="DJ252" ca="1">MIN(_xlfn._xlws.FILTER(CT252:DG252,CT252:DG252&gt;BP252))</f>
        <v>1.3318025258323762E-2</v>
      </c>
      <c r="DK252" s="2" cm="1">
        <f t="array" aca="1" ref="DK252" ca="1">_FV(EH252,"Fechamento anterior",TRUE)</f>
        <v>6.44</v>
      </c>
      <c r="DL252" s="36">
        <f ca="1">(BJ252-DM252)/(DN252-DM252)</f>
        <v>0.55829674448489941</v>
      </c>
      <c r="DM252" s="18">
        <f t="shared" ca="1" si="222"/>
        <v>6.3542319173363957</v>
      </c>
      <c r="DN252" s="18">
        <f t="shared" ca="1" si="223"/>
        <v>6.5257680826636051</v>
      </c>
      <c r="DO252" s="9"/>
      <c r="DP252" s="9"/>
      <c r="DQ252" s="94">
        <v>7.8108644648980347E-2</v>
      </c>
      <c r="DR252" s="94">
        <v>1.6707731475717719E-2</v>
      </c>
      <c r="DS252" s="94">
        <v>1.2922958145888079E-2</v>
      </c>
      <c r="DT252" s="94">
        <f t="shared" ca="1" si="200"/>
        <v>2.6636050516647525E-2</v>
      </c>
      <c r="DU252" s="87">
        <f ca="1">(BJ252-CF252)/(CF252-CE252)</f>
        <v>-0.59735098043988388</v>
      </c>
      <c r="DV252" s="46"/>
      <c r="DW252" s="43">
        <f>_xlfn.STDEV.P(BF252:BI252)</f>
        <v>0.11299889379989521</v>
      </c>
      <c r="DX252" s="76">
        <f ca="1">BO252-$DT$2</f>
        <v>0.85519999999999996</v>
      </c>
      <c r="DY252" s="76">
        <f ca="1">BO252-BP252*100</f>
        <v>1.6970000000000001</v>
      </c>
      <c r="DZ252" s="101"/>
      <c r="EA252" s="100">
        <v>1.5257000000000001</v>
      </c>
      <c r="EB252" s="107">
        <v>2.7570999999999999</v>
      </c>
      <c r="EC252" s="107">
        <v>2.5900000000000034E-2</v>
      </c>
      <c r="ED252" s="98">
        <f t="shared" ca="1" si="224"/>
        <v>-0.8418000000000001</v>
      </c>
      <c r="EE252" s="66"/>
      <c r="EF252" s="66"/>
      <c r="EH252" s="2" t="e" vm="254">
        <v>#VALUE!</v>
      </c>
      <c r="EJ252" s="10" cm="1">
        <f t="array" aca="1" ref="EJ252" ca="1">_FV(EH252,"Ações em circulação",TRUE)</f>
        <v>67412640</v>
      </c>
      <c r="EK252" s="21">
        <f>VLOOKUP(BK252,Fundamentus!A:U,5,FALSE)</f>
        <v>0.28499999999999998</v>
      </c>
      <c r="EL252" s="2">
        <f ca="1">(BJ252*EJ252)/EK252</f>
        <v>1525654484.2105265</v>
      </c>
      <c r="EM252" s="20">
        <v>-760578261.82063174</v>
      </c>
      <c r="EN252" s="20">
        <f t="shared" ca="1" si="201"/>
        <v>-761759283.96631587</v>
      </c>
      <c r="EP252" s="19">
        <f t="shared" ca="1" si="197"/>
        <v>1.5527950310558758E-3</v>
      </c>
      <c r="EQ252" s="40" t="str">
        <f>IF(VLOOKUP(BK252,Fundamentus!A:U,3,FALSE)&lt;15,"Bom",IF(VLOOKUP(BK252,Fundamentus!A:U,3,FALSE)&gt;15,"Ruim","n/a"))</f>
        <v>Bom</v>
      </c>
      <c r="ER252" s="36" t="str">
        <f>IF(VLOOKUP(BK252,Fundamentus!A:U,4,FALSE)&lt;1,"Baixo",IF(VLOOKUP(BK252,Fundamentus!A:U,4,FALSE)&lt;1.5,"Moderado",IF(VLOOKUP(BK252,Fundamentus!A:U,4,FALSE)&gt;1.5,"Alto","n/a")))</f>
        <v>Baixo</v>
      </c>
      <c r="ES252" s="20" t="str">
        <f>IF(VLOOKUP(BK252,Fundamentus!A:U,8,FALSE)&lt;0,"Risco elevado",IF(VLOOKUP(BK252,Fundamentus!A:U,8,FALSE)&lt;1,"Saudável",IF(VLOOKUP(BK252,Fundamentus!A:U,8,FALSE)&lt;3,"Estável",IF(VLOOKUP(BK252,Fundamentus!A:U,8,FALSE)&gt;3,"Alerta","n/a"))))</f>
        <v>Saudável</v>
      </c>
      <c r="ET252" s="36" t="str">
        <f t="shared" si="202"/>
        <v>Ruim</v>
      </c>
      <c r="EU252" s="20" t="str">
        <f>IF(VLOOKUP(BK252,Fundamentus!A:U,12,FALSE)&lt;2,"Subvalorizada",IF(VLOOKUP(BK252,Fundamentus!A:U,12,FALSE)&lt;6,"Muita barata",IF(VLOOKUP(BK252,Fundamentus!A:U,12,FALSE)&lt;6,"Barata",IF(VLOOKUP(BK252,Fundamentus!A:U,12,FALSE)&lt;8,"Atrativa",IF(VLOOKUP(BK252,Fundamentus!A:U,12,FALSE)&gt;8,"Supervalorizada","n/a")))))</f>
        <v>Subvalorizada</v>
      </c>
      <c r="EW252" s="20" t="str">
        <f>IF(VLOOKUP(BK252,Fundamentus!A:U,17,FALSE)&lt;0.1,"Fraco retorno",IF(VLOOKUP(BK252,Fundamentus!A:U,17,FALSE)&gt;0.1,"Bom retorno","n/a"))</f>
        <v>Fraco retorno</v>
      </c>
      <c r="EX252" s="20" t="str">
        <f>IF(VLOOKUP(BK252,Fundamentus!A:U,16,FALSE)&lt;0.1,"Ineficiente",IF(VLOOKUP(BK252,Fundamentus!A:U,16,FALSE)&gt;0.1,"Eficiente","n/a"))</f>
        <v>Ineficiente</v>
      </c>
      <c r="EY252" s="41" t="str">
        <f>IF(VLOOKUP(BK252,Fundamentus!A:U,16,FALSE)&lt;0.1,"Oper. Ineficiente",IF(VLOOKUP(BK252,Fundamentus!A:U,16,FALSE)&gt;0.1,"Oper.Eficiente","n/a"))</f>
        <v>Oper. Ineficiente</v>
      </c>
      <c r="EZ252" s="42">
        <f>VLOOKUP(BK252,Fundamentus!A:U,14,FALSE)</f>
        <v>-0.49930000000000002</v>
      </c>
      <c r="FA252" s="20" t="str">
        <f>IF(VLOOKUP(BK252,Fundamentus!A:U,21,FALSE)&lt;0,"Negativo",IF(VLOOKUP(BK252,Fundamentus!A:U,21,FALSE)&lt;0.05,"Fraco",IF(VLOOKUP(BK252,Fundamentus!A:U,21,FALSE)&lt;0.1,"Bom",IF(VLOOKUP(BK252,Fundamentus!A:U,21,FALSE)&gt;0.1,"Muito bom","n/a"))))</f>
        <v>Muito bom</v>
      </c>
      <c r="FC252" s="37" t="str">
        <f>IF(VLOOKUP(BK252,Fundamentus!A:U,15,FALSE)&gt;1,"Bom",IF(VLOOKUP(BK252,Fundamentus!A:U,15,FALSE)&lt;1,"Ruim","n/a"))</f>
        <v>Bom</v>
      </c>
      <c r="FD252" s="20" t="str">
        <f>IF(VLOOKUP(BK252,Fundamentus!A:U,20,FALSE)&lt;0.5,"Baixa",IF(VLOOKUP(BK252,Fundamentus!A:U,20,FALSE)&lt;1,"Moderada",IF(VLOOKUP(BK252,Fundamentus!A:U,20,FALSE)&lt;2,"Alerta",IF(VLOOKUP(BK252,Fundamentus!A:U,20,FALSE)&gt;2,"Alta","n/a"))))</f>
        <v>Moderada</v>
      </c>
    </row>
    <row r="253" spans="1:160" s="2" customFormat="1" ht="11.25" hidden="1"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8">
        <v>0.74</v>
      </c>
      <c r="BC253" s="62">
        <v>0.71</v>
      </c>
      <c r="BD253" s="62">
        <v>0.59</v>
      </c>
      <c r="BE253" s="62">
        <v>0.56000000000000005</v>
      </c>
      <c r="BF253" s="62">
        <v>0.56999999999999995</v>
      </c>
      <c r="BG253" s="81">
        <v>0.5</v>
      </c>
      <c r="BH253" s="62">
        <v>0.46</v>
      </c>
      <c r="BI253" s="62">
        <v>0.46</v>
      </c>
      <c r="BJ253" s="62" cm="1">
        <f t="array" aca="1" ref="BJ253" ca="1">_FV(EH253,"Preço")</f>
        <v>0.46</v>
      </c>
      <c r="BK253" s="83" t="s">
        <v>249</v>
      </c>
      <c r="BL253" s="44" cm="1">
        <f t="array" aca="1" ref="BL253" ca="1">_FV(EH253,"Média de volume",TRUE)</f>
        <v>1389470</v>
      </c>
      <c r="BM253" s="44">
        <v>1076500</v>
      </c>
      <c r="BN253" s="44" cm="1">
        <f t="array" aca="1" ref="BN253" ca="1">_FV(EH253,"Volume")</f>
        <v>567100</v>
      </c>
      <c r="BO253" s="32" cm="1">
        <f t="array" aca="1" ref="BO253" ca="1">_FV(EH253,"Beta")</f>
        <v>1.0164</v>
      </c>
      <c r="BP253" s="86" cm="1">
        <f t="array" aca="1" ref="BP253" ca="1">_FV(EH253,"Variação (%)",TRUE)</f>
        <v>0</v>
      </c>
      <c r="BQ253" s="48"/>
      <c r="BR253" s="48"/>
      <c r="BT253" s="20" cm="1">
        <f t="array" aca="1" ref="BT253" ca="1">_FV(EH253,"Baixo")</f>
        <v>0.45</v>
      </c>
      <c r="BU253" s="20" cm="1">
        <f t="array" aca="1" ref="BU253" ca="1">_FV(EH253,"Alto")</f>
        <v>0.47</v>
      </c>
      <c r="BV253" s="32"/>
      <c r="BW253" s="73" t="e">
        <f ca="1">SQRT(22.5*(BJ253/VLOOKUP(BK253,Fundamentus!A:U,3,FALSE))*(BJ253/VLOOKUP(BK253,Fundamentus!A:U,4,FALSE)))</f>
        <v>#NUM!</v>
      </c>
      <c r="BY253" s="72">
        <f t="shared" ca="1" si="198"/>
        <v>0</v>
      </c>
      <c r="BZ253" s="8"/>
      <c r="CA253" s="71">
        <f t="shared" si="205"/>
        <v>0.46</v>
      </c>
      <c r="CB253" s="71">
        <f t="shared" si="199"/>
        <v>1.69</v>
      </c>
      <c r="CC253" s="71">
        <f t="shared" si="206"/>
        <v>1.1090163934426225</v>
      </c>
      <c r="CD253" s="17"/>
      <c r="CE253" s="43">
        <f t="shared" si="203"/>
        <v>0.31513899622194408</v>
      </c>
      <c r="CF253" s="18">
        <f>FORECAST("04/07/2025", BF253:BI253, $BF$5:$BI$5)</f>
        <v>0.40500000000000114</v>
      </c>
      <c r="CG253" s="43">
        <f t="shared" si="204"/>
        <v>0.49486100377805819</v>
      </c>
      <c r="CI253" s="17"/>
      <c r="CJ253" s="20">
        <f>CA253-2*(CB253-CM253)</f>
        <v>-1.18</v>
      </c>
      <c r="CK253" s="20">
        <f>CM253-(CB253-CA253)</f>
        <v>-0.36</v>
      </c>
      <c r="CL253" s="20">
        <f>2*CM253-CB253</f>
        <v>5.0000000000000044E-2</v>
      </c>
      <c r="CM253" s="48">
        <f>(CB253+CA253+BI253)/3</f>
        <v>0.87</v>
      </c>
      <c r="CN253" s="20">
        <f>2*CM253-CA253</f>
        <v>1.28</v>
      </c>
      <c r="CO253" s="20">
        <f>CM253+(CB253-CA253)</f>
        <v>2.1</v>
      </c>
      <c r="CP253" s="20">
        <f>CB253+2*(CM253-CA253)</f>
        <v>2.5099999999999998</v>
      </c>
      <c r="CQ253" s="2" cm="1">
        <f t="array" aca="1" ref="CQ253" ca="1">MAX(_xlfn._xlws.FILTER(CJ253:CP253,CJ253:CP253&lt;BJ253))</f>
        <v>5.0000000000000044E-2</v>
      </c>
      <c r="CR253" s="2" cm="1">
        <f t="array" aca="1" ref="CR253" ca="1">MIN(_xlfn._xlws.FILTER($CJ253:$CP253,$CJ253:$CP253&gt;BJ253))</f>
        <v>0.87</v>
      </c>
      <c r="CS253" s="19">
        <f t="shared" ca="1" si="207"/>
        <v>16.399999999999984</v>
      </c>
      <c r="CT253" s="23">
        <f t="shared" ca="1" si="208"/>
        <v>-8.1999999999999922</v>
      </c>
      <c r="CU253" s="23">
        <f t="shared" ca="1" si="209"/>
        <v>-5.4666666666666615</v>
      </c>
      <c r="CV253" s="23">
        <f t="shared" ca="1" si="210"/>
        <v>-3.2799999999999967</v>
      </c>
      <c r="CW253" s="23">
        <f t="shared" ca="1" si="211"/>
        <v>-1.8222222222222204</v>
      </c>
      <c r="CX253" s="23">
        <f t="shared" ca="1" si="212"/>
        <v>-0.9647058823529403</v>
      </c>
      <c r="CY253" s="23">
        <f t="shared" ca="1" si="213"/>
        <v>-0.49696969696969651</v>
      </c>
      <c r="CZ253" s="23">
        <f t="shared" ca="1" si="214"/>
        <v>-0.25230769230769207</v>
      </c>
      <c r="DA253" s="24">
        <f t="shared" ca="1" si="215"/>
        <v>0.25230769230769207</v>
      </c>
      <c r="DB253" s="24">
        <f t="shared" ca="1" si="216"/>
        <v>0.49696969696969651</v>
      </c>
      <c r="DC253" s="24">
        <f t="shared" ca="1" si="217"/>
        <v>0.9647058823529403</v>
      </c>
      <c r="DD253" s="24">
        <f t="shared" ca="1" si="218"/>
        <v>1.8222222222222204</v>
      </c>
      <c r="DE253" s="24">
        <f t="shared" ca="1" si="219"/>
        <v>3.2799999999999967</v>
      </c>
      <c r="DF253" s="24">
        <f t="shared" ca="1" si="220"/>
        <v>5.4666666666666615</v>
      </c>
      <c r="DG253" s="24">
        <f t="shared" ca="1" si="221"/>
        <v>8.1999999999999922</v>
      </c>
      <c r="DI253" s="19" cm="1">
        <f t="array" aca="1" ref="DI253" ca="1">MAX(_xlfn._xlws.FILTER(CT253:DG253,CT253:DG253&lt;BP253))</f>
        <v>-0.25230769230769207</v>
      </c>
      <c r="DJ253" s="19" cm="1">
        <f t="array" aca="1" ref="DJ253" ca="1">MIN(_xlfn._xlws.FILTER(CT253:DG253,CT253:DG253&gt;BP253))</f>
        <v>0.25230769230769207</v>
      </c>
      <c r="DK253" s="2" cm="1">
        <f t="array" aca="1" ref="DK253" ca="1">_FV(EH253,"Fechamento anterior",TRUE)</f>
        <v>0.46</v>
      </c>
      <c r="DL253" s="36">
        <f ca="1">(BJ253-DM253)/(DN253-DM253)</f>
        <v>0.5</v>
      </c>
      <c r="DM253" s="18">
        <f t="shared" ca="1" si="222"/>
        <v>0.34393846153846164</v>
      </c>
      <c r="DN253" s="18">
        <f t="shared" ca="1" si="223"/>
        <v>0.5760615384615384</v>
      </c>
      <c r="DO253" s="9"/>
      <c r="DP253" s="9"/>
      <c r="DQ253" s="94">
        <v>0.18109890109890073</v>
      </c>
      <c r="DR253" s="94">
        <v>0.18109890109890073</v>
      </c>
      <c r="DS253" s="94">
        <v>0.23622828784119118</v>
      </c>
      <c r="DT253" s="94">
        <f t="shared" ca="1" si="200"/>
        <v>0.50461538461538413</v>
      </c>
      <c r="DU253" s="87">
        <f ca="1">(BJ253-CF253)/(CF253-CE253)</f>
        <v>0.61205637248211109</v>
      </c>
      <c r="DV253" s="46"/>
      <c r="DW253" s="43">
        <f>_xlfn.STDEV.P(BF253:BI253)</f>
        <v>4.4930501889028543E-2</v>
      </c>
      <c r="DX253" s="76">
        <f ca="1">BO253-$DT$2</f>
        <v>1.9299999999999873E-2</v>
      </c>
      <c r="DY253" s="76">
        <f ca="1">BO253-BP253*100</f>
        <v>1.0164</v>
      </c>
      <c r="DZ253" s="101"/>
      <c r="EA253" s="100">
        <v>-1.7420999999999998</v>
      </c>
      <c r="EB253" s="107">
        <v>-2.9247999999999994</v>
      </c>
      <c r="EC253" s="107">
        <v>4.7263999999999999</v>
      </c>
      <c r="ED253" s="98">
        <f t="shared" ca="1" si="224"/>
        <v>-0.9971000000000001</v>
      </c>
      <c r="EE253" s="66"/>
      <c r="EF253" s="66"/>
      <c r="EH253" s="2" t="e" vm="255">
        <v>#VALUE!</v>
      </c>
      <c r="EJ253" s="10" cm="1">
        <f t="array" aca="1" ref="EJ253" ca="1">_FV(EH253,"Ações em circulação",TRUE)</f>
        <v>592753700</v>
      </c>
      <c r="EK253" s="21">
        <f>VLOOKUP(BK253,Fundamentus!A:U,5,FALSE)</f>
        <v>1.9279999999999999</v>
      </c>
      <c r="EL253" s="2">
        <f ca="1">(BJ253*EJ253)/EK253</f>
        <v>141424637.96680498</v>
      </c>
      <c r="EM253" s="20">
        <v>-242133122.66296679</v>
      </c>
      <c r="EN253" s="20">
        <f t="shared" ca="1" si="201"/>
        <v>-242133122.66296679</v>
      </c>
      <c r="EP253" s="19">
        <f t="shared" ca="1" si="197"/>
        <v>0</v>
      </c>
      <c r="EQ253" s="40" t="str">
        <f>IF(VLOOKUP(BK253,Fundamentus!A:U,3,FALSE)&lt;15,"Bom",IF(VLOOKUP(BK253,Fundamentus!A:U,3,FALSE)&gt;15,"Ruim","n/a"))</f>
        <v>Bom</v>
      </c>
      <c r="ER253" s="36" t="str">
        <f>IF(VLOOKUP(BK253,Fundamentus!A:U,4,FALSE)&lt;1,"Baixo",IF(VLOOKUP(BK253,Fundamentus!A:U,4,FALSE)&lt;1.5,"Moderado",IF(VLOOKUP(BK253,Fundamentus!A:U,4,FALSE)&gt;1.5,"Alto","n/a")))</f>
        <v>Baixo</v>
      </c>
      <c r="ES253" s="20" t="str">
        <f>IF(VLOOKUP(BK253,Fundamentus!A:U,8,FALSE)&lt;0,"Risco elevado",IF(VLOOKUP(BK253,Fundamentus!A:U,8,FALSE)&lt;1,"Saudável",IF(VLOOKUP(BK253,Fundamentus!A:U,8,FALSE)&lt;3,"Estável",IF(VLOOKUP(BK253,Fundamentus!A:U,8,FALSE)&gt;3,"Alerta","n/a"))))</f>
        <v>Risco elevado</v>
      </c>
      <c r="ET253" s="36" t="str">
        <f t="shared" si="202"/>
        <v>Bom</v>
      </c>
      <c r="EU253" s="20" t="str">
        <f>IF(VLOOKUP(BK253,Fundamentus!A:U,12,FALSE)&lt;2,"Subvalorizada",IF(VLOOKUP(BK253,Fundamentus!A:U,12,FALSE)&lt;6,"Muita barata",IF(VLOOKUP(BK253,Fundamentus!A:U,12,FALSE)&lt;6,"Barata",IF(VLOOKUP(BK253,Fundamentus!A:U,12,FALSE)&lt;8,"Atrativa",IF(VLOOKUP(BK253,Fundamentus!A:U,12,FALSE)&gt;8,"Supervalorizada","n/a")))))</f>
        <v>Subvalorizada</v>
      </c>
      <c r="EW253" s="20" t="str">
        <f>IF(VLOOKUP(BK253,Fundamentus!A:U,17,FALSE)&lt;0.1,"Fraco retorno",IF(VLOOKUP(BK253,Fundamentus!A:U,17,FALSE)&gt;0.1,"Bom retorno","n/a"))</f>
        <v>Fraco retorno</v>
      </c>
      <c r="EX253" s="20" t="str">
        <f>IF(VLOOKUP(BK253,Fundamentus!A:U,16,FALSE)&lt;0.1,"Ineficiente",IF(VLOOKUP(BK253,Fundamentus!A:U,16,FALSE)&gt;0.1,"Eficiente","n/a"))</f>
        <v>Ineficiente</v>
      </c>
      <c r="EY253" s="41" t="str">
        <f>IF(VLOOKUP(BK253,Fundamentus!A:U,16,FALSE)&lt;0.1,"Oper. Ineficiente",IF(VLOOKUP(BK253,Fundamentus!A:U,16,FALSE)&gt;0.1,"Oper.Eficiente","n/a"))</f>
        <v>Oper. Ineficiente</v>
      </c>
      <c r="EZ253" s="42">
        <f>VLOOKUP(BK253,Fundamentus!A:U,14,FALSE)</f>
        <v>-1.7121</v>
      </c>
      <c r="FA253" s="20" t="str">
        <f>IF(VLOOKUP(BK253,Fundamentus!A:U,21,FALSE)&lt;0,"Negativo",IF(VLOOKUP(BK253,Fundamentus!A:U,21,FALSE)&lt;0.05,"Fraco",IF(VLOOKUP(BK253,Fundamentus!A:U,21,FALSE)&lt;0.1,"Bom",IF(VLOOKUP(BK253,Fundamentus!A:U,21,FALSE)&gt;0.1,"Muito bom","n/a"))))</f>
        <v>Muito bom</v>
      </c>
      <c r="FC253" s="37" t="str">
        <f>IF(VLOOKUP(BK253,Fundamentus!A:U,15,FALSE)&gt;1,"Bom",IF(VLOOKUP(BK253,Fundamentus!A:U,15,FALSE)&lt;1,"Ruim","n/a"))</f>
        <v>Ruim</v>
      </c>
      <c r="FD253" s="20" t="str">
        <f>IF(VLOOKUP(BK253,Fundamentus!A:U,20,FALSE)&lt;0.5,"Baixa",IF(VLOOKUP(BK253,Fundamentus!A:U,20,FALSE)&lt;1,"Moderada",IF(VLOOKUP(BK253,Fundamentus!A:U,20,FALSE)&lt;2,"Alerta",IF(VLOOKUP(BK253,Fundamentus!A:U,20,FALSE)&gt;2,"Alta","n/a"))))</f>
        <v>Baixa</v>
      </c>
    </row>
    <row r="254" spans="1:160" s="2" customFormat="1" ht="11.25" hidden="1"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8">
        <v>1.19</v>
      </c>
      <c r="BC254" s="62">
        <v>0.95</v>
      </c>
      <c r="BD254" s="62">
        <v>1.3</v>
      </c>
      <c r="BE254" s="62">
        <v>1.47</v>
      </c>
      <c r="BF254" s="62">
        <v>1.1000000000000001</v>
      </c>
      <c r="BG254" s="81">
        <v>701</v>
      </c>
      <c r="BH254" s="62">
        <v>162.16</v>
      </c>
      <c r="BI254" s="62">
        <v>118</v>
      </c>
      <c r="BJ254" s="62" cm="1">
        <f t="array" aca="1" ref="BJ254" ca="1">_FV(EH254,"Preço")</f>
        <v>148</v>
      </c>
      <c r="BK254" s="83" t="s">
        <v>250</v>
      </c>
      <c r="BL254" s="44" cm="1">
        <f t="array" aca="1" ref="BL254" ca="1">_FV(EH254,"Média de volume",TRUE)</f>
        <v>23547000</v>
      </c>
      <c r="BM254" s="44">
        <v>53653</v>
      </c>
      <c r="BN254" s="44" cm="1">
        <f t="array" aca="1" ref="BN254" ca="1">_FV(EH254,"Volume")</f>
        <v>13563</v>
      </c>
      <c r="BO254" s="32" cm="1">
        <f t="array" aca="1" ref="BO254" ca="1">_FV(EH254,"Beta")</f>
        <v>50.042000000000002</v>
      </c>
      <c r="BP254" s="86" cm="1">
        <f t="array" aca="1" ref="BP254" ca="1">_FV(EH254,"Variação (%)",TRUE)</f>
        <v>0.25423699999999999</v>
      </c>
      <c r="BQ254" s="48"/>
      <c r="BR254" s="48"/>
      <c r="BT254" s="20" cm="1">
        <f t="array" aca="1" ref="BT254" ca="1">_FV(EH254,"Baixo")</f>
        <v>132</v>
      </c>
      <c r="BU254" s="20" cm="1">
        <f t="array" aca="1" ref="BU254" ca="1">_FV(EH254,"Alto")</f>
        <v>154</v>
      </c>
      <c r="BV254" s="32"/>
      <c r="BW254" s="73">
        <f ca="1">SQRT(22.5*(BJ254/VLOOKUP(BK254,Fundamentus!A:U,3,FALSE))*(BJ254/VLOOKUP(BK254,Fundamentus!A:U,4,FALSE)))</f>
        <v>11.313368102204642</v>
      </c>
      <c r="BY254" s="72">
        <f t="shared" ca="1" si="198"/>
        <v>0.25423728813559321</v>
      </c>
      <c r="BZ254" s="8"/>
      <c r="CA254" s="71">
        <f t="shared" si="205"/>
        <v>0.95</v>
      </c>
      <c r="CB254" s="71">
        <f t="shared" si="199"/>
        <v>701</v>
      </c>
      <c r="CC254" s="71">
        <f t="shared" si="206"/>
        <v>17.284180327868853</v>
      </c>
      <c r="CD254" s="17"/>
      <c r="CE254" s="43">
        <f t="shared" si="203"/>
        <v>-340.37017507883718</v>
      </c>
      <c r="CF254" s="18">
        <f>FORECAST("04/07/2025", BF254:BI254, $BF$5:$BI$5)</f>
        <v>198.52999999999884</v>
      </c>
      <c r="CG254" s="43">
        <f t="shared" si="204"/>
        <v>737.43017507883485</v>
      </c>
      <c r="CI254" s="17"/>
      <c r="CJ254" s="20">
        <f>CA254-2*(CB254-CM254)</f>
        <v>-854.41666666666663</v>
      </c>
      <c r="CK254" s="20">
        <f>CM254-(CB254-CA254)</f>
        <v>-426.73333333333329</v>
      </c>
      <c r="CL254" s="20">
        <f>2*CM254-CB254</f>
        <v>-154.36666666666667</v>
      </c>
      <c r="CM254" s="48">
        <f>(CB254+CA254+BI254)/3</f>
        <v>273.31666666666666</v>
      </c>
      <c r="CN254" s="20">
        <f>2*CM254-CA254</f>
        <v>545.68333333333328</v>
      </c>
      <c r="CO254" s="20">
        <f>CM254+(CB254-CA254)</f>
        <v>973.36666666666656</v>
      </c>
      <c r="CP254" s="20">
        <f>CB254+2*(CM254-CA254)</f>
        <v>1245.7333333333333</v>
      </c>
      <c r="CQ254" s="2" cm="1">
        <f t="array" aca="1" ref="CQ254" ca="1">MAX(_xlfn._xlws.FILTER(CJ254:CP254,CJ254:CP254&lt;BJ254))</f>
        <v>-154.36666666666667</v>
      </c>
      <c r="CR254" s="2" cm="1">
        <f t="array" aca="1" ref="CR254" ca="1">MIN(_xlfn._xlws.FILTER($CJ254:$CP254,$CJ254:$CP254&gt;BJ254))</f>
        <v>273.31666666666666</v>
      </c>
      <c r="CS254" s="19">
        <f t="shared" ca="1" si="207"/>
        <v>-2.7705679118980782</v>
      </c>
      <c r="CT254" s="23">
        <f t="shared" ca="1" si="208"/>
        <v>1.3852839559490391</v>
      </c>
      <c r="CU254" s="23">
        <f t="shared" ca="1" si="209"/>
        <v>0.92352263729935935</v>
      </c>
      <c r="CV254" s="23">
        <f t="shared" ca="1" si="210"/>
        <v>0.55411358237961561</v>
      </c>
      <c r="CW254" s="23">
        <f t="shared" ca="1" si="211"/>
        <v>0.30784087909978647</v>
      </c>
      <c r="CX254" s="23">
        <f t="shared" ca="1" si="212"/>
        <v>0.16297458305282814</v>
      </c>
      <c r="CY254" s="23">
        <f t="shared" ca="1" si="213"/>
        <v>8.3956603390850856E-2</v>
      </c>
      <c r="CZ254" s="23">
        <f t="shared" ca="1" si="214"/>
        <v>4.2624121721508895E-2</v>
      </c>
      <c r="DA254" s="24">
        <f t="shared" ca="1" si="215"/>
        <v>-4.2624121721508895E-2</v>
      </c>
      <c r="DB254" s="24">
        <f t="shared" ca="1" si="216"/>
        <v>-8.3956603390850856E-2</v>
      </c>
      <c r="DC254" s="24">
        <f t="shared" ca="1" si="217"/>
        <v>-0.16297458305282814</v>
      </c>
      <c r="DD254" s="24">
        <f t="shared" ca="1" si="218"/>
        <v>-0.30784087909978647</v>
      </c>
      <c r="DE254" s="24">
        <f t="shared" ca="1" si="219"/>
        <v>-0.55411358237961561</v>
      </c>
      <c r="DF254" s="24">
        <f t="shared" ca="1" si="220"/>
        <v>-0.92352263729935935</v>
      </c>
      <c r="DG254" s="24">
        <f t="shared" ca="1" si="221"/>
        <v>-1.3852839559490391</v>
      </c>
      <c r="DI254" s="19" cm="1">
        <f t="array" aca="1" ref="DI254" ca="1">MAX(_xlfn._xlws.FILTER(CT254:DG254,CT254:DG254&lt;BP254))</f>
        <v>0.16297458305282814</v>
      </c>
      <c r="DJ254" s="19" cm="1">
        <f t="array" aca="1" ref="DJ254" ca="1">MIN(_xlfn._xlws.FILTER(CT254:DG254,CT254:DG254&gt;BP254))</f>
        <v>0.30784087909978647</v>
      </c>
      <c r="DK254" s="2" cm="1">
        <f t="array" aca="1" ref="DK254" ca="1">_FV(EH254,"Fechamento anterior",TRUE)</f>
        <v>118</v>
      </c>
      <c r="DL254" s="36">
        <f ca="1">(BJ254-DM254)/(DN254-DM254)</f>
        <v>0.6299788672251434</v>
      </c>
      <c r="DM254" s="18">
        <f t="shared" ca="1" si="222"/>
        <v>137.23100080023372</v>
      </c>
      <c r="DN254" s="18">
        <f t="shared" ca="1" si="223"/>
        <v>154.32522373377481</v>
      </c>
      <c r="DO254" s="9"/>
      <c r="DP254" s="9"/>
      <c r="DQ254" s="94">
        <v>4.8800661703887527E-2</v>
      </c>
      <c r="DR254" s="94">
        <v>6.2571103526734867E-2</v>
      </c>
      <c r="DS254" s="94" t="e" vm="5">
        <v>#VALUE!</v>
      </c>
      <c r="DT254" s="94">
        <f t="shared" ca="1" si="200"/>
        <v>0.14486629604695833</v>
      </c>
      <c r="DU254" s="87">
        <f ca="1">(BJ254-CF254)/(CF254-CE254)</f>
        <v>-9.3765046546156292E-2</v>
      </c>
      <c r="DV254" s="46"/>
      <c r="DW254" s="43">
        <f>_xlfn.STDEV.P(BF254:BI254)</f>
        <v>269.45008753941801</v>
      </c>
      <c r="DX254" s="76">
        <f ca="1">BO254-$DT$2</f>
        <v>49.044899999999998</v>
      </c>
      <c r="DY254" s="76">
        <f ca="1">BO254-BP254*100</f>
        <v>24.618300000000001</v>
      </c>
      <c r="DZ254" s="101"/>
      <c r="EA254" s="100">
        <v>-24.570499999999996</v>
      </c>
      <c r="EB254" s="107">
        <v>3.8748000000000005</v>
      </c>
      <c r="EC254" s="107">
        <v>87.482499999999987</v>
      </c>
      <c r="ED254" s="98">
        <f t="shared" ca="1" si="224"/>
        <v>24.426599999999997</v>
      </c>
      <c r="EE254" s="66"/>
      <c r="EF254" s="66"/>
      <c r="EH254" s="2" t="e" vm="256">
        <v>#VALUE!</v>
      </c>
      <c r="EJ254" s="10" cm="1">
        <f t="array" aca="1" ref="EJ254" ca="1">_FV(EH254,"Ações em circulação",TRUE)</f>
        <v>3202277000000</v>
      </c>
      <c r="EK254" s="21">
        <f>VLOOKUP(BK254,Fundamentus!A:U,5,FALSE)</f>
        <v>47.427</v>
      </c>
      <c r="EL254" s="2">
        <f ca="1">(BJ254*EJ254)/EK254</f>
        <v>9992978598688.5117</v>
      </c>
      <c r="EM254" s="20">
        <v>-3370199552533.3672</v>
      </c>
      <c r="EN254" s="20">
        <f t="shared" ca="1" si="201"/>
        <v>-4227029947245.2402</v>
      </c>
      <c r="EP254" s="19">
        <f t="shared" ca="1" si="197"/>
        <v>0.25423728813559321</v>
      </c>
      <c r="EQ254" s="40" t="str">
        <f>IF(VLOOKUP(BK254,Fundamentus!A:U,3,FALSE)&lt;15,"Bom",IF(VLOOKUP(BK254,Fundamentus!A:U,3,FALSE)&gt;15,"Ruim","n/a"))</f>
        <v>Bom</v>
      </c>
      <c r="ER254" s="36" t="str">
        <f>IF(VLOOKUP(BK254,Fundamentus!A:U,4,FALSE)&lt;1,"Baixo",IF(VLOOKUP(BK254,Fundamentus!A:U,4,FALSE)&lt;1.5,"Moderado",IF(VLOOKUP(BK254,Fundamentus!A:U,4,FALSE)&gt;1.5,"Alto","n/a")))</f>
        <v>Baixo</v>
      </c>
      <c r="ES254" s="20" t="str">
        <f>IF(VLOOKUP(BK254,Fundamentus!A:U,8,FALSE)&lt;0,"Risco elevado",IF(VLOOKUP(BK254,Fundamentus!A:U,8,FALSE)&lt;1,"Saudável",IF(VLOOKUP(BK254,Fundamentus!A:U,8,FALSE)&lt;3,"Estável",IF(VLOOKUP(BK254,Fundamentus!A:U,8,FALSE)&gt;3,"Alerta","n/a"))))</f>
        <v>Risco elevado</v>
      </c>
      <c r="ET254" s="36" t="str">
        <f t="shared" si="202"/>
        <v>Bom</v>
      </c>
      <c r="EU254" s="20" t="str">
        <f>IF(VLOOKUP(BK254,Fundamentus!A:U,12,FALSE)&lt;2,"Subvalorizada",IF(VLOOKUP(BK254,Fundamentus!A:U,12,FALSE)&lt;6,"Muita barata",IF(VLOOKUP(BK254,Fundamentus!A:U,12,FALSE)&lt;6,"Barata",IF(VLOOKUP(BK254,Fundamentus!A:U,12,FALSE)&lt;8,"Atrativa",IF(VLOOKUP(BK254,Fundamentus!A:U,12,FALSE)&gt;8,"Supervalorizada","n/a")))))</f>
        <v>Supervalorizada</v>
      </c>
      <c r="EW254" s="20" t="str">
        <f>IF(VLOOKUP(BK254,Fundamentus!A:U,17,FALSE)&lt;0.1,"Fraco retorno",IF(VLOOKUP(BK254,Fundamentus!A:U,17,FALSE)&gt;0.1,"Bom retorno","n/a"))</f>
        <v>Bom retorno</v>
      </c>
      <c r="EX254" s="20" t="str">
        <f>IF(VLOOKUP(BK254,Fundamentus!A:U,16,FALSE)&lt;0.1,"Ineficiente",IF(VLOOKUP(BK254,Fundamentus!A:U,16,FALSE)&gt;0.1,"Eficiente","n/a"))</f>
        <v>Ineficiente</v>
      </c>
      <c r="EY254" s="41" t="str">
        <f>IF(VLOOKUP(BK254,Fundamentus!A:U,16,FALSE)&lt;0.1,"Oper. Ineficiente",IF(VLOOKUP(BK254,Fundamentus!A:U,16,FALSE)&gt;0.1,"Oper.Eficiente","n/a"))</f>
        <v>Oper. Ineficiente</v>
      </c>
      <c r="EZ254" s="42">
        <f>VLOOKUP(BK254,Fundamentus!A:U,14,FALSE)</f>
        <v>-0.42299999999999999</v>
      </c>
      <c r="FA254" s="20" t="str">
        <f>IF(VLOOKUP(BK254,Fundamentus!A:U,21,FALSE)&lt;0,"Negativo",IF(VLOOKUP(BK254,Fundamentus!A:U,21,FALSE)&lt;0.05,"Fraco",IF(VLOOKUP(BK254,Fundamentus!A:U,21,FALSE)&lt;0.1,"Bom",IF(VLOOKUP(BK254,Fundamentus!A:U,21,FALSE)&gt;0.1,"Muito bom","n/a"))))</f>
        <v>Muito bom</v>
      </c>
      <c r="FC254" s="37" t="str">
        <f>IF(VLOOKUP(BK254,Fundamentus!A:U,15,FALSE)&gt;1,"Bom",IF(VLOOKUP(BK254,Fundamentus!A:U,15,FALSE)&lt;1,"Ruim","n/a"))</f>
        <v>Ruim</v>
      </c>
      <c r="FD254" s="20" t="str">
        <f>IF(VLOOKUP(BK254,Fundamentus!A:U,20,FALSE)&lt;0.5,"Baixa",IF(VLOOKUP(BK254,Fundamentus!A:U,20,FALSE)&lt;1,"Moderada",IF(VLOOKUP(BK254,Fundamentus!A:U,20,FALSE)&lt;2,"Alerta",IF(VLOOKUP(BK254,Fundamentus!A:U,20,FALSE)&gt;2,"Alta","n/a"))))</f>
        <v>Baixa</v>
      </c>
    </row>
    <row r="255" spans="1:160" s="2" customFormat="1" ht="11.25" hidden="1"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8">
        <v>6.69</v>
      </c>
      <c r="BC255" s="62">
        <v>8.5</v>
      </c>
      <c r="BD255" s="62">
        <v>10</v>
      </c>
      <c r="BE255" s="62">
        <v>10.119999999999999</v>
      </c>
      <c r="BF255" s="62">
        <v>9.58</v>
      </c>
      <c r="BG255" s="81">
        <v>10.38</v>
      </c>
      <c r="BH255" s="62">
        <v>10.119999999999999</v>
      </c>
      <c r="BI255" s="62">
        <v>9.01</v>
      </c>
      <c r="BJ255" s="62" cm="1">
        <f t="array" aca="1" ref="BJ255" ca="1">_FV(EH255,"Preço")</f>
        <v>8.7799999999999994</v>
      </c>
      <c r="BK255" s="83" t="s">
        <v>198</v>
      </c>
      <c r="BL255" s="44" cm="1">
        <f t="array" aca="1" ref="BL255" ca="1">_FV(EH255,"Média de volume",TRUE)</f>
        <v>578550</v>
      </c>
      <c r="BM255" s="44">
        <v>991000</v>
      </c>
      <c r="BN255" s="44" cm="1">
        <f t="array" aca="1" ref="BN255" ca="1">_FV(EH255,"Volume")</f>
        <v>745700</v>
      </c>
      <c r="BO255" s="32" cm="1">
        <f t="array" aca="1" ref="BO255" ca="1">_FV(EH255,"Beta")</f>
        <v>1.7654000000000001</v>
      </c>
      <c r="BP255" s="86" cm="1">
        <f t="array" aca="1" ref="BP255" ca="1">_FV(EH255,"Variação (%)",TRUE)</f>
        <v>-2.5527000000000001E-2</v>
      </c>
      <c r="BQ255" s="48"/>
      <c r="BR255" s="48"/>
      <c r="BT255" s="20" cm="1">
        <f t="array" aca="1" ref="BT255" ca="1">_FV(EH255,"Baixo")</f>
        <v>8.6999999999999993</v>
      </c>
      <c r="BU255" s="20" cm="1">
        <f t="array" aca="1" ref="BU255" ca="1">_FV(EH255,"Alto")</f>
        <v>9.17</v>
      </c>
      <c r="BV255" s="32"/>
      <c r="BW255" s="73">
        <f ca="1">SQRT(22.5*(BJ255/VLOOKUP(BK255,Fundamentus!A:U,3,FALSE))*(BJ255/VLOOKUP(BK255,Fundamentus!A:U,4,FALSE)))</f>
        <v>8.5316646714447639</v>
      </c>
      <c r="BY255" s="72">
        <f t="shared" ca="1" si="198"/>
        <v>-2.5527192008879072E-2</v>
      </c>
      <c r="BZ255" s="8"/>
      <c r="CA255" s="71">
        <f t="shared" si="205"/>
        <v>4.21</v>
      </c>
      <c r="CB255" s="71">
        <f t="shared" si="199"/>
        <v>10.38</v>
      </c>
      <c r="CC255" s="71">
        <f t="shared" si="206"/>
        <v>5.9316393442622957</v>
      </c>
      <c r="CD255" s="17"/>
      <c r="CE255" s="43">
        <f t="shared" si="203"/>
        <v>8.2272535917897507</v>
      </c>
      <c r="CF255" s="18">
        <f>FORECAST("04/07/2025", BF255:BI255, $BF$5:$BI$5)</f>
        <v>9.2800000000002001</v>
      </c>
      <c r="CG255" s="43">
        <f t="shared" si="204"/>
        <v>10.332746408210649</v>
      </c>
      <c r="CI255" s="17"/>
      <c r="CJ255" s="20">
        <f>CA255-2*(CB255-CM255)</f>
        <v>-0.81666666666666732</v>
      </c>
      <c r="CK255" s="20">
        <f>CM255-(CB255-CA255)</f>
        <v>1.6966666666666663</v>
      </c>
      <c r="CL255" s="20">
        <f>2*CM255-CB255</f>
        <v>5.3533333333333335</v>
      </c>
      <c r="CM255" s="48">
        <f>(CB255+CA255+BI255)/3</f>
        <v>7.8666666666666671</v>
      </c>
      <c r="CN255" s="20">
        <f>2*CM255-CA255</f>
        <v>11.523333333333333</v>
      </c>
      <c r="CO255" s="20">
        <f>CM255+(CB255-CA255)</f>
        <v>14.036666666666669</v>
      </c>
      <c r="CP255" s="20">
        <f>CB255+2*(CM255-CA255)</f>
        <v>17.693333333333335</v>
      </c>
      <c r="CQ255" s="2" cm="1">
        <f t="array" aca="1" ref="CQ255" ca="1">MAX(_xlfn._xlws.FILTER(CJ255:CP255,CJ255:CP255&lt;BJ255))</f>
        <v>7.8666666666666671</v>
      </c>
      <c r="CR255" s="2" cm="1">
        <f t="array" aca="1" ref="CR255" ca="1">MIN(_xlfn._xlws.FILTER($CJ255:$CP255,$CJ255:$CP255&gt;BJ255))</f>
        <v>11.523333333333333</v>
      </c>
      <c r="CS255" s="19">
        <f t="shared" ca="1" si="207"/>
        <v>0.4648305084745763</v>
      </c>
      <c r="CT255" s="23">
        <f t="shared" ca="1" si="208"/>
        <v>-0.23241525423728815</v>
      </c>
      <c r="CU255" s="23">
        <f t="shared" ca="1" si="209"/>
        <v>-0.15494350282485878</v>
      </c>
      <c r="CV255" s="23">
        <f t="shared" ca="1" si="210"/>
        <v>-9.296610169491526E-2</v>
      </c>
      <c r="CW255" s="23">
        <f t="shared" ca="1" si="211"/>
        <v>-5.1647834274952925E-2</v>
      </c>
      <c r="CX255" s="23">
        <f t="shared" ca="1" si="212"/>
        <v>-2.7342971086739783E-2</v>
      </c>
      <c r="CY255" s="23">
        <f t="shared" ca="1" si="213"/>
        <v>-1.4085772984078069E-2</v>
      </c>
      <c r="CZ255" s="23">
        <f t="shared" ca="1" si="214"/>
        <v>-7.1512385919165582E-3</v>
      </c>
      <c r="DA255" s="24">
        <f t="shared" ca="1" si="215"/>
        <v>7.1512385919165582E-3</v>
      </c>
      <c r="DB255" s="24">
        <f t="shared" ca="1" si="216"/>
        <v>1.4085772984078069E-2</v>
      </c>
      <c r="DC255" s="24">
        <f t="shared" ca="1" si="217"/>
        <v>2.7342971086739783E-2</v>
      </c>
      <c r="DD255" s="24">
        <f t="shared" ca="1" si="218"/>
        <v>5.1647834274952925E-2</v>
      </c>
      <c r="DE255" s="24">
        <f t="shared" ca="1" si="219"/>
        <v>9.296610169491526E-2</v>
      </c>
      <c r="DF255" s="24">
        <f t="shared" ca="1" si="220"/>
        <v>0.15494350282485878</v>
      </c>
      <c r="DG255" s="24">
        <f t="shared" ca="1" si="221"/>
        <v>0.23241525423728815</v>
      </c>
      <c r="DI255" s="19" cm="1">
        <f t="array" aca="1" ref="DI255" ca="1">MAX(_xlfn._xlws.FILTER(CT255:DG255,CT255:DG255&lt;BP255))</f>
        <v>-2.7342971086739783E-2</v>
      </c>
      <c r="DJ255" s="19" cm="1">
        <f t="array" aca="1" ref="DJ255" ca="1">MIN(_xlfn._xlws.FILTER(CT255:DG255,CT255:DG255&gt;BP255))</f>
        <v>-1.4085772984078069E-2</v>
      </c>
      <c r="DK255" s="2" cm="1">
        <f t="array" aca="1" ref="DK255" ca="1">_FV(EH255,"Fechamento anterior",TRUE)</f>
        <v>9.01</v>
      </c>
      <c r="DL255" s="36">
        <f ca="1">(BJ255-DM255)/(DN255-DM255)</f>
        <v>0.13696552346880758</v>
      </c>
      <c r="DM255" s="18">
        <f t="shared" ca="1" si="222"/>
        <v>8.7636398305084739</v>
      </c>
      <c r="DN255" s="18">
        <f t="shared" ca="1" si="223"/>
        <v>8.8830871854134568</v>
      </c>
      <c r="DO255" s="9"/>
      <c r="DP255" s="9"/>
      <c r="DQ255" s="94">
        <v>5.4025095258512226E-3</v>
      </c>
      <c r="DR255" s="94">
        <v>1.893526623031188E-2</v>
      </c>
      <c r="DS255" s="94">
        <v>1.4094631918373346E-2</v>
      </c>
      <c r="DT255" s="94">
        <f t="shared" ca="1" si="200"/>
        <v>1.3257198102661714E-2</v>
      </c>
      <c r="DU255" s="87">
        <f ca="1">(BJ255-CF255)/(CF255-CE255)</f>
        <v>-0.47494818894717916</v>
      </c>
      <c r="DV255" s="46"/>
      <c r="DW255" s="43">
        <f>_xlfn.STDEV.P(BF255:BI255)</f>
        <v>0.52637320410522437</v>
      </c>
      <c r="DX255" s="76">
        <f ca="1">BO255-$DT$2</f>
        <v>0.76829999999999998</v>
      </c>
      <c r="DY255" s="76">
        <f ca="1">BO255-BP255*100</f>
        <v>4.3181000000000003</v>
      </c>
      <c r="DZ255" s="101"/>
      <c r="EA255" s="100">
        <v>0.20290999999999992</v>
      </c>
      <c r="EB255" s="107">
        <v>-1.7302999999999997</v>
      </c>
      <c r="EC255" s="107">
        <v>-0.91680000000000006</v>
      </c>
      <c r="ED255" s="98">
        <f t="shared" ca="1" si="224"/>
        <v>-3.5498000000000003</v>
      </c>
      <c r="EE255" s="66"/>
      <c r="EF255" s="66"/>
      <c r="EH255" s="2" t="e" vm="257">
        <v>#VALUE!</v>
      </c>
      <c r="EJ255" s="10" cm="1">
        <f t="array" aca="1" ref="EJ255" ca="1">_FV(EH255,"Ações em circulação",TRUE)</f>
        <v>128721600</v>
      </c>
      <c r="EK255" s="21">
        <f>VLOOKUP(BK255,Fundamentus!A:U,5,FALSE)</f>
        <v>0.64500000000000002</v>
      </c>
      <c r="EL255" s="2">
        <f ca="1">(BJ255*EJ255)/EK255</f>
        <v>1752210306.9767442</v>
      </c>
      <c r="EM255" s="20">
        <v>52145219.944186047</v>
      </c>
      <c r="EN255" s="20">
        <f t="shared" ca="1" si="201"/>
        <v>50814098.902325585</v>
      </c>
      <c r="EP255" s="19">
        <f t="shared" ca="1" si="197"/>
        <v>-2.5527192008878985E-2</v>
      </c>
      <c r="EQ255" s="40" t="str">
        <f>IF(VLOOKUP(BK255,Fundamentus!A:U,3,FALSE)&lt;15,"Bom",IF(VLOOKUP(BK255,Fundamentus!A:U,3,FALSE)&gt;15,"Ruim","n/a"))</f>
        <v>Ruim</v>
      </c>
      <c r="ER255" s="36" t="str">
        <f>IF(VLOOKUP(BK255,Fundamentus!A:U,4,FALSE)&lt;1,"Baixo",IF(VLOOKUP(BK255,Fundamentus!A:U,4,FALSE)&lt;1.5,"Moderado",IF(VLOOKUP(BK255,Fundamentus!A:U,4,FALSE)&gt;1.5,"Alto","n/a")))</f>
        <v>Moderado</v>
      </c>
      <c r="ES255" s="20" t="str">
        <f>IF(VLOOKUP(BK255,Fundamentus!A:U,8,FALSE)&lt;0,"Risco elevado",IF(VLOOKUP(BK255,Fundamentus!A:U,8,FALSE)&lt;1,"Saudável",IF(VLOOKUP(BK255,Fundamentus!A:U,8,FALSE)&lt;3,"Estável",IF(VLOOKUP(BK255,Fundamentus!A:U,8,FALSE)&gt;3,"Alerta","n/a"))))</f>
        <v>Alerta</v>
      </c>
      <c r="ET255" s="36" t="str">
        <f t="shared" si="202"/>
        <v>Ruim</v>
      </c>
      <c r="EU255" s="20" t="str">
        <f>IF(VLOOKUP(BK255,Fundamentus!A:U,12,FALSE)&lt;2,"Subvalorizada",IF(VLOOKUP(BK255,Fundamentus!A:U,12,FALSE)&lt;6,"Muita barata",IF(VLOOKUP(BK255,Fundamentus!A:U,12,FALSE)&lt;6,"Barata",IF(VLOOKUP(BK255,Fundamentus!A:U,12,FALSE)&lt;8,"Atrativa",IF(VLOOKUP(BK255,Fundamentus!A:U,12,FALSE)&gt;8,"Supervalorizada","n/a")))))</f>
        <v>Muita barata</v>
      </c>
      <c r="EW255" s="20" t="str">
        <f>IF(VLOOKUP(BK255,Fundamentus!A:U,17,FALSE)&lt;0.1,"Fraco retorno",IF(VLOOKUP(BK255,Fundamentus!A:U,17,FALSE)&gt;0.1,"Bom retorno","n/a"))</f>
        <v>Fraco retorno</v>
      </c>
      <c r="EX255" s="20" t="str">
        <f>IF(VLOOKUP(BK255,Fundamentus!A:U,16,FALSE)&lt;0.1,"Ineficiente",IF(VLOOKUP(BK255,Fundamentus!A:U,16,FALSE)&gt;0.1,"Eficiente","n/a"))</f>
        <v>Eficiente</v>
      </c>
      <c r="EY255" s="41" t="str">
        <f>IF(VLOOKUP(BK255,Fundamentus!A:U,16,FALSE)&lt;0.1,"Oper. Ineficiente",IF(VLOOKUP(BK255,Fundamentus!A:U,16,FALSE)&gt;0.1,"Oper.Eficiente","n/a"))</f>
        <v>Oper.Eficiente</v>
      </c>
      <c r="EZ255" s="42">
        <f>VLOOKUP(BK255,Fundamentus!A:U,14,FALSE)</f>
        <v>2.9000000000000001E-2</v>
      </c>
      <c r="FA255" s="20" t="str">
        <f>IF(VLOOKUP(BK255,Fundamentus!A:U,21,FALSE)&lt;0,"Negativo",IF(VLOOKUP(BK255,Fundamentus!A:U,21,FALSE)&lt;0.05,"Fraco",IF(VLOOKUP(BK255,Fundamentus!A:U,21,FALSE)&lt;0.1,"Bom",IF(VLOOKUP(BK255,Fundamentus!A:U,21,FALSE)&gt;0.1,"Muito bom","n/a"))))</f>
        <v>Muito bom</v>
      </c>
      <c r="FC255" s="37" t="str">
        <f>IF(VLOOKUP(BK255,Fundamentus!A:U,15,FALSE)&gt;1,"Bom",IF(VLOOKUP(BK255,Fundamentus!A:U,15,FALSE)&lt;1,"Ruim","n/a"))</f>
        <v>Bom</v>
      </c>
      <c r="FD255" s="20" t="str">
        <f>IF(VLOOKUP(BK255,Fundamentus!A:U,20,FALSE)&lt;0.5,"Baixa",IF(VLOOKUP(BK255,Fundamentus!A:U,20,FALSE)&lt;1,"Moderada",IF(VLOOKUP(BK255,Fundamentus!A:U,20,FALSE)&lt;2,"Alerta",IF(VLOOKUP(BK255,Fundamentus!A:U,20,FALSE)&gt;2,"Alta","n/a"))))</f>
        <v>Moderada</v>
      </c>
    </row>
    <row r="256" spans="1:160" s="2" customFormat="1" ht="11.25" hidden="1"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8">
        <v>7.15</v>
      </c>
      <c r="BC256" s="62">
        <v>7.08</v>
      </c>
      <c r="BD256" s="62">
        <v>6.92</v>
      </c>
      <c r="BE256" s="62">
        <v>7.02</v>
      </c>
      <c r="BF256" s="62">
        <v>7.06</v>
      </c>
      <c r="BG256" s="81">
        <v>7.02</v>
      </c>
      <c r="BH256" s="62">
        <v>6.79</v>
      </c>
      <c r="BI256" s="62">
        <v>6.8</v>
      </c>
      <c r="BJ256" s="62" cm="1">
        <f t="array" aca="1" ref="BJ256" ca="1">_FV(EH256,"Preço")</f>
        <v>6.81</v>
      </c>
      <c r="BK256" s="83" t="s">
        <v>252</v>
      </c>
      <c r="BL256" s="44" cm="1">
        <f t="array" aca="1" ref="BL256" ca="1">_FV(EH256,"Média de volume",TRUE)</f>
        <v>475080</v>
      </c>
      <c r="BM256" s="44">
        <v>406200</v>
      </c>
      <c r="BN256" s="44" cm="1">
        <f t="array" aca="1" ref="BN256" ca="1">_FV(EH256,"Volume")</f>
        <v>255800</v>
      </c>
      <c r="BO256" s="32" cm="1">
        <f t="array" aca="1" ref="BO256" ca="1">_FV(EH256,"Beta")</f>
        <v>0.3009</v>
      </c>
      <c r="BP256" s="86" cm="1">
        <f t="array" aca="1" ref="BP256" ca="1">_FV(EH256,"Variação (%)",TRUE)</f>
        <v>1.4710000000000001E-3</v>
      </c>
      <c r="BQ256" s="48"/>
      <c r="BR256" s="48"/>
      <c r="BT256" s="20" cm="1">
        <f t="array" aca="1" ref="BT256" ca="1">_FV(EH256,"Baixo")</f>
        <v>6.76</v>
      </c>
      <c r="BU256" s="20" cm="1">
        <f t="array" aca="1" ref="BU256" ca="1">_FV(EH256,"Alto")</f>
        <v>6.85</v>
      </c>
      <c r="BV256" s="32"/>
      <c r="BW256" s="73">
        <f ca="1">SQRT(22.5*(BJ256/VLOOKUP(BK256,Fundamentus!A:U,3,FALSE))*(BJ256/VLOOKUP(BK256,Fundamentus!A:U,4,FALSE)))</f>
        <v>13.292940640802637</v>
      </c>
      <c r="BY256" s="72">
        <f t="shared" ca="1" si="198"/>
        <v>1.4705882352940864E-3</v>
      </c>
      <c r="BZ256" s="8"/>
      <c r="CA256" s="71">
        <f t="shared" si="205"/>
        <v>6.79</v>
      </c>
      <c r="CB256" s="71">
        <f t="shared" si="199"/>
        <v>8.9</v>
      </c>
      <c r="CC256" s="71">
        <f t="shared" si="206"/>
        <v>7.705901639344261</v>
      </c>
      <c r="CD256" s="17"/>
      <c r="CE256" s="43">
        <f t="shared" si="203"/>
        <v>6.4182714041705715</v>
      </c>
      <c r="CF256" s="18">
        <f>FORECAST("04/07/2025", BF256:BI256, $BF$5:$BI$5)</f>
        <v>6.6650000000000773</v>
      </c>
      <c r="CG256" s="43">
        <f t="shared" si="204"/>
        <v>6.9117285958295831</v>
      </c>
      <c r="CI256" s="17"/>
      <c r="CJ256" s="20">
        <f>CA256-2*(CB256-CM256)</f>
        <v>3.9833333333333334</v>
      </c>
      <c r="CK256" s="20">
        <f>CM256-(CB256-CA256)</f>
        <v>5.3866666666666667</v>
      </c>
      <c r="CL256" s="20">
        <f>2*CM256-CB256</f>
        <v>6.0933333333333337</v>
      </c>
      <c r="CM256" s="48">
        <f>(CB256+CA256+BI256)/3</f>
        <v>7.496666666666667</v>
      </c>
      <c r="CN256" s="20">
        <f>2*CM256-CA256</f>
        <v>8.2033333333333331</v>
      </c>
      <c r="CO256" s="20">
        <f>CM256+(CB256-CA256)</f>
        <v>9.6066666666666674</v>
      </c>
      <c r="CP256" s="20">
        <f>CB256+2*(CM256-CA256)</f>
        <v>10.313333333333334</v>
      </c>
      <c r="CQ256" s="2" cm="1">
        <f t="array" aca="1" ref="CQ256" ca="1">MAX(_xlfn._xlws.FILTER(CJ256:CP256,CJ256:CP256&lt;BJ256))</f>
        <v>6.0933333333333337</v>
      </c>
      <c r="CR256" s="2" cm="1">
        <f t="array" aca="1" ref="CR256" ca="1">MIN(_xlfn._xlws.FILTER($CJ256:$CP256,$CJ256:$CP256&gt;BJ256))</f>
        <v>7.496666666666667</v>
      </c>
      <c r="CS256" s="19">
        <f t="shared" ref="CS256:CS261" ca="1" si="225">(CR256/CQ256)-1</f>
        <v>0.23030634573304165</v>
      </c>
      <c r="CT256" s="23">
        <f t="shared" ref="CT256:CT261" ca="1" si="226">-$CS256/2</f>
        <v>-0.11515317286652083</v>
      </c>
      <c r="CU256" s="23">
        <f t="shared" ref="CU256:CU261" ca="1" si="227">-$CS256/3</f>
        <v>-7.6768781911013884E-2</v>
      </c>
      <c r="CV256" s="23">
        <f t="shared" ref="CV256:CV261" ca="1" si="228">-$CS256/5</f>
        <v>-4.6061269146608332E-2</v>
      </c>
      <c r="CW256" s="23">
        <f t="shared" ref="CW256:CW261" ca="1" si="229">-$CS256/9</f>
        <v>-2.558959397033796E-2</v>
      </c>
      <c r="CX256" s="23">
        <f t="shared" ref="CX256:CX263" ca="1" si="230">-$CS256/17</f>
        <v>-1.3547432101943627E-2</v>
      </c>
      <c r="CY256" s="23">
        <f t="shared" ref="CY256:CY263" ca="1" si="231">-$CS256/33</f>
        <v>-6.9789801737285351E-3</v>
      </c>
      <c r="CZ256" s="23">
        <f t="shared" ref="CZ256:CZ263" ca="1" si="232">-$CS256/65</f>
        <v>-3.5431745497391024E-3</v>
      </c>
      <c r="DA256" s="24">
        <f t="shared" ref="DA256:DA263" ca="1" si="233">-$CS256/65*-1</f>
        <v>3.5431745497391024E-3</v>
      </c>
      <c r="DB256" s="24">
        <f t="shared" ref="DB256:DB263" ca="1" si="234">-$CS256/33*-1</f>
        <v>6.9789801737285351E-3</v>
      </c>
      <c r="DC256" s="24">
        <f t="shared" ref="DC256:DC263" ca="1" si="235">-$CS256/17*-1</f>
        <v>1.3547432101943627E-2</v>
      </c>
      <c r="DD256" s="24">
        <f t="shared" ref="DD256:DD261" ca="1" si="236">-$CS256/9*-1</f>
        <v>2.558959397033796E-2</v>
      </c>
      <c r="DE256" s="24">
        <f t="shared" ref="DE256:DE261" ca="1" si="237">-$CS256/5*-1</f>
        <v>4.6061269146608332E-2</v>
      </c>
      <c r="DF256" s="24">
        <f t="shared" ref="DF256:DF261" ca="1" si="238">-$CS256/3*-1</f>
        <v>7.6768781911013884E-2</v>
      </c>
      <c r="DG256" s="24">
        <f t="shared" ref="DG256:DG261" ca="1" si="239">-$CS256/2*-1</f>
        <v>0.11515317286652083</v>
      </c>
      <c r="DI256" s="19" cm="1">
        <f t="array" aca="1" ref="DI256" ca="1">MAX(_xlfn._xlws.FILTER(CT256:DG256,CT256:DG256&lt;BP256))</f>
        <v>-3.5431745497391024E-3</v>
      </c>
      <c r="DJ256" s="19" cm="1">
        <f t="array" aca="1" ref="DJ256" ca="1">MIN(_xlfn._xlws.FILTER(CT256:DG256,CT256:DG256&gt;BP256))</f>
        <v>3.5431745497391024E-3</v>
      </c>
      <c r="DK256" s="2" cm="1">
        <f t="array" aca="1" ref="DK256" ca="1">_FV(EH256,"Fechamento anterior",TRUE)</f>
        <v>6.8</v>
      </c>
      <c r="DL256" s="36">
        <f ca="1">(BJ256-DM256)/(DN256-DM256)</f>
        <v>0.70752410227748763</v>
      </c>
      <c r="DM256" s="18">
        <f t="shared" ref="DM256:DM260" ca="1" si="240">DK256+(DK256*DI256)</f>
        <v>6.7759064130617741</v>
      </c>
      <c r="DN256" s="18">
        <f t="shared" ref="DN256:DN260" ca="1" si="241">DK256+(DK256*DJ256)</f>
        <v>6.8240935869382255</v>
      </c>
      <c r="DO256" s="9"/>
      <c r="DP256" s="9"/>
      <c r="DQ256" s="94">
        <v>5.1812502522217696E-3</v>
      </c>
      <c r="DR256" s="94">
        <v>2.7101924396236948E-3</v>
      </c>
      <c r="DS256" s="94">
        <v>6.2575990921617955E-3</v>
      </c>
      <c r="DT256" s="94">
        <f t="shared" ca="1" si="200"/>
        <v>7.0863490994782048E-3</v>
      </c>
      <c r="DU256" s="87">
        <f ca="1">(BJ256-CF256)/(CF256-CE256)</f>
        <v>0.58769028986052385</v>
      </c>
      <c r="DV256" s="46"/>
      <c r="DW256" s="43">
        <f>_xlfn.STDEV.P(BF256:BI256)</f>
        <v>0.1233642979147531</v>
      </c>
      <c r="DX256" s="76">
        <f ca="1">BO256-$DT$2</f>
        <v>-0.69620000000000015</v>
      </c>
      <c r="DY256" s="76">
        <f ca="1">BO256-BP256*100</f>
        <v>0.15379999999999999</v>
      </c>
      <c r="DZ256" s="101"/>
      <c r="EA256" s="100">
        <v>-1.2397999999999998</v>
      </c>
      <c r="EB256" s="107">
        <v>-2.3091999999999997</v>
      </c>
      <c r="EC256" s="107">
        <v>0.32819999999999999</v>
      </c>
      <c r="ED256" s="98">
        <f t="shared" ca="1" si="224"/>
        <v>-0.85000000000000009</v>
      </c>
      <c r="EE256" s="66"/>
      <c r="EF256" s="66"/>
      <c r="EH256" s="2" t="e" vm="258">
        <v>#VALUE!</v>
      </c>
      <c r="EJ256" s="10" cm="1">
        <f t="array" aca="1" ref="EJ256" ca="1">_FV(EH256,"Ações em circulação",TRUE)</f>
        <v>353175000</v>
      </c>
      <c r="EK256" s="21">
        <f>VLOOKUP(BK256,Fundamentus!A:U,5,FALSE)</f>
        <v>1.089</v>
      </c>
      <c r="EL256" s="2">
        <f ca="1">(BJ256*EJ256)/EK256</f>
        <v>2208559917.355372</v>
      </c>
      <c r="EM256" s="20">
        <v>301025743.80165291</v>
      </c>
      <c r="EN256" s="20">
        <f t="shared" ca="1" si="201"/>
        <v>301468428.71900827</v>
      </c>
      <c r="EP256" s="19">
        <f t="shared" ca="1" si="197"/>
        <v>1.4705882352941124E-3</v>
      </c>
      <c r="EQ256" s="40" t="str">
        <f>IF(VLOOKUP(BK256,Fundamentus!A:U,3,FALSE)&lt;15,"Bom",IF(VLOOKUP(BK256,Fundamentus!A:U,3,FALSE)&gt;15,"Ruim","n/a"))</f>
        <v>Bom</v>
      </c>
      <c r="ER256" s="36" t="str">
        <f>IF(VLOOKUP(BK256,Fundamentus!A:U,4,FALSE)&lt;1,"Baixo",IF(VLOOKUP(BK256,Fundamentus!A:U,4,FALSE)&lt;1.5,"Moderado",IF(VLOOKUP(BK256,Fundamentus!A:U,4,FALSE)&gt;1.5,"Alto","n/a")))</f>
        <v>Baixo</v>
      </c>
      <c r="ES256" s="20" t="str">
        <f>IF(VLOOKUP(BK256,Fundamentus!A:U,8,FALSE)&lt;0,"Risco elevado",IF(VLOOKUP(BK256,Fundamentus!A:U,8,FALSE)&lt;1,"Saudável",IF(VLOOKUP(BK256,Fundamentus!A:U,8,FALSE)&lt;3,"Estável",IF(VLOOKUP(BK256,Fundamentus!A:U,8,FALSE)&gt;3,"Alerta","n/a"))))</f>
        <v>Estável</v>
      </c>
      <c r="ET256" s="36" t="str">
        <f t="shared" si="202"/>
        <v>Bom</v>
      </c>
      <c r="EU256" s="20" t="str">
        <f>IF(VLOOKUP(BK256,Fundamentus!A:U,12,FALSE)&lt;2,"Subvalorizada",IF(VLOOKUP(BK256,Fundamentus!A:U,12,FALSE)&lt;6,"Muita barata",IF(VLOOKUP(BK256,Fundamentus!A:U,12,FALSE)&lt;6,"Barata",IF(VLOOKUP(BK256,Fundamentus!A:U,12,FALSE)&lt;8,"Atrativa",IF(VLOOKUP(BK256,Fundamentus!A:U,12,FALSE)&gt;8,"Supervalorizada","n/a")))))</f>
        <v>Muita barata</v>
      </c>
      <c r="EW256" s="20" t="str">
        <f>IF(VLOOKUP(BK256,Fundamentus!A:U,17,FALSE)&lt;0.1,"Fraco retorno",IF(VLOOKUP(BK256,Fundamentus!A:U,17,FALSE)&gt;0.1,"Bom retorno","n/a"))</f>
        <v>Fraco retorno</v>
      </c>
      <c r="EX256" s="20" t="str">
        <f>IF(VLOOKUP(BK256,Fundamentus!A:U,16,FALSE)&lt;0.1,"Ineficiente",IF(VLOOKUP(BK256,Fundamentus!A:U,16,FALSE)&gt;0.1,"Eficiente","n/a"))</f>
        <v>Ineficiente</v>
      </c>
      <c r="EY256" s="41" t="str">
        <f>IF(VLOOKUP(BK256,Fundamentus!A:U,16,FALSE)&lt;0.1,"Oper. Ineficiente",IF(VLOOKUP(BK256,Fundamentus!A:U,16,FALSE)&gt;0.1,"Oper.Eficiente","n/a"))</f>
        <v>Oper. Ineficiente</v>
      </c>
      <c r="EZ256" s="42">
        <f>VLOOKUP(BK256,Fundamentus!A:U,14,FALSE)</f>
        <v>0.13650000000000001</v>
      </c>
      <c r="FA256" s="20" t="str">
        <f>IF(VLOOKUP(BK256,Fundamentus!A:U,21,FALSE)&lt;0,"Negativo",IF(VLOOKUP(BK256,Fundamentus!A:U,21,FALSE)&lt;0.05,"Fraco",IF(VLOOKUP(BK256,Fundamentus!A:U,21,FALSE)&lt;0.1,"Bom",IF(VLOOKUP(BK256,Fundamentus!A:U,21,FALSE)&gt;0.1,"Muito bom","n/a"))))</f>
        <v>Fraco</v>
      </c>
      <c r="FC256" s="37" t="str">
        <f>IF(VLOOKUP(BK256,Fundamentus!A:U,15,FALSE)&gt;1,"Bom",IF(VLOOKUP(BK256,Fundamentus!A:U,15,FALSE)&lt;1,"Ruim","n/a"))</f>
        <v>Bom</v>
      </c>
      <c r="FD256" s="20" t="str">
        <f>IF(VLOOKUP(BK256,Fundamentus!A:U,20,FALSE)&lt;0.5,"Baixa",IF(VLOOKUP(BK256,Fundamentus!A:U,20,FALSE)&lt;1,"Moderada",IF(VLOOKUP(BK256,Fundamentus!A:U,20,FALSE)&lt;2,"Alerta",IF(VLOOKUP(BK256,Fundamentus!A:U,20,FALSE)&gt;2,"Alta","n/a"))))</f>
        <v>Baixa</v>
      </c>
    </row>
    <row r="257" spans="1:160" s="2" customFormat="1" ht="11.25" hidden="1"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8">
        <v>2.75</v>
      </c>
      <c r="BC257" s="62">
        <v>3.02</v>
      </c>
      <c r="BD257" s="62">
        <v>3.08</v>
      </c>
      <c r="BE257" s="62">
        <v>2.88</v>
      </c>
      <c r="BF257" s="62">
        <v>2.71</v>
      </c>
      <c r="BG257" s="81">
        <v>2.5099999999999998</v>
      </c>
      <c r="BH257" s="62">
        <v>2.5299999999999998</v>
      </c>
      <c r="BI257" s="62">
        <v>2.54</v>
      </c>
      <c r="BJ257" s="62" cm="1">
        <f t="array" aca="1" ref="BJ257" ca="1">_FV(EH257,"Preço")</f>
        <v>2.59</v>
      </c>
      <c r="BK257" s="83" t="s">
        <v>253</v>
      </c>
      <c r="BL257" s="44" cm="1">
        <f t="array" aca="1" ref="BL257" ca="1">_FV(EH257,"Média de volume",TRUE)</f>
        <v>1803650</v>
      </c>
      <c r="BM257" s="44">
        <v>997600</v>
      </c>
      <c r="BN257" s="44" cm="1">
        <f t="array" aca="1" ref="BN257" ca="1">_FV(EH257,"Volume")</f>
        <v>590200</v>
      </c>
      <c r="BO257" s="32" cm="1">
        <f t="array" aca="1" ref="BO257" ca="1">_FV(EH257,"Beta")</f>
        <v>1.8176000000000001</v>
      </c>
      <c r="BP257" s="86" cm="1">
        <f t="array" aca="1" ref="BP257" ca="1">_FV(EH257,"Variação (%)",TRUE)</f>
        <v>1.9684999999999998E-2</v>
      </c>
      <c r="BQ257" s="48"/>
      <c r="BR257" s="48"/>
      <c r="BT257" s="20" cm="1">
        <f t="array" aca="1" ref="BT257" ca="1">_FV(EH257,"Baixo")</f>
        <v>2.5099999999999998</v>
      </c>
      <c r="BU257" s="20" cm="1">
        <f t="array" aca="1" ref="BU257" ca="1">_FV(EH257,"Alto")</f>
        <v>2.63</v>
      </c>
      <c r="BV257" s="32"/>
      <c r="BW257" s="73" t="e">
        <f ca="1">SQRT(22.5*(BJ257/VLOOKUP(BK257,Fundamentus!A:U,3,FALSE))*(BJ257/VLOOKUP(BK257,Fundamentus!A:U,4,FALSE)))</f>
        <v>#NUM!</v>
      </c>
      <c r="BY257" s="72">
        <f t="shared" ca="1" si="198"/>
        <v>1.968503937007867E-2</v>
      </c>
      <c r="BZ257" s="8"/>
      <c r="CA257" s="71">
        <f t="shared" si="205"/>
        <v>2.06</v>
      </c>
      <c r="CB257" s="71">
        <f t="shared" si="199"/>
        <v>5.27</v>
      </c>
      <c r="CC257" s="71">
        <f t="shared" si="206"/>
        <v>3.1613934426229502</v>
      </c>
      <c r="CD257" s="17"/>
      <c r="CE257" s="43">
        <f t="shared" si="203"/>
        <v>2.2897657964103679</v>
      </c>
      <c r="CF257" s="18">
        <f>FORECAST("04/07/2025", BF257:BI257, $BF$5:$BI$5)</f>
        <v>2.4499999999999886</v>
      </c>
      <c r="CG257" s="43">
        <f t="shared" si="204"/>
        <v>2.6102342035896093</v>
      </c>
      <c r="CI257" s="17"/>
      <c r="CJ257" s="20">
        <f>CA257-2*(CB257-CM257)</f>
        <v>-1.8999999999999981</v>
      </c>
      <c r="CK257" s="20">
        <f>CM257-(CB257-CA257)</f>
        <v>8.0000000000000959E-2</v>
      </c>
      <c r="CL257" s="20">
        <f>2*CM257-CB257</f>
        <v>1.3100000000000014</v>
      </c>
      <c r="CM257" s="48">
        <f>(CB257+CA257+BI257)/3</f>
        <v>3.2900000000000005</v>
      </c>
      <c r="CN257" s="20">
        <f>2*CM257-CA257</f>
        <v>4.5200000000000014</v>
      </c>
      <c r="CO257" s="20">
        <f>CM257+(CB257-CA257)</f>
        <v>6.5</v>
      </c>
      <c r="CP257" s="20">
        <f>CB257+2*(CM257-CA257)</f>
        <v>7.73</v>
      </c>
      <c r="CQ257" s="2" cm="1">
        <f t="array" aca="1" ref="CQ257" ca="1">MAX(_xlfn._xlws.FILTER(CJ257:CP257,CJ257:CP257&lt;BJ257))</f>
        <v>1.3100000000000014</v>
      </c>
      <c r="CR257" s="2" cm="1">
        <f t="array" aca="1" ref="CR257" ca="1">MIN(_xlfn._xlws.FILTER($CJ257:$CP257,$CJ257:$CP257&gt;BJ257))</f>
        <v>3.2900000000000005</v>
      </c>
      <c r="CS257" s="19">
        <f t="shared" ca="1" si="225"/>
        <v>1.5114503816793872</v>
      </c>
      <c r="CT257" s="23">
        <f t="shared" ca="1" si="226"/>
        <v>-0.75572519083969358</v>
      </c>
      <c r="CU257" s="23">
        <f t="shared" ca="1" si="227"/>
        <v>-0.50381679389312906</v>
      </c>
      <c r="CV257" s="23">
        <f t="shared" ca="1" si="228"/>
        <v>-0.30229007633587746</v>
      </c>
      <c r="CW257" s="23">
        <f t="shared" ca="1" si="229"/>
        <v>-0.16793893129770968</v>
      </c>
      <c r="CX257" s="23">
        <f t="shared" ca="1" si="230"/>
        <v>-8.8908845981140419E-2</v>
      </c>
      <c r="CY257" s="23">
        <f t="shared" ca="1" si="231"/>
        <v>-4.5801526717557189E-2</v>
      </c>
      <c r="CZ257" s="23">
        <f t="shared" ca="1" si="232"/>
        <v>-2.3253082795067496E-2</v>
      </c>
      <c r="DA257" s="24">
        <f t="shared" ca="1" si="233"/>
        <v>2.3253082795067496E-2</v>
      </c>
      <c r="DB257" s="24">
        <f t="shared" ca="1" si="234"/>
        <v>4.5801526717557189E-2</v>
      </c>
      <c r="DC257" s="24">
        <f t="shared" ca="1" si="235"/>
        <v>8.8908845981140419E-2</v>
      </c>
      <c r="DD257" s="24">
        <f t="shared" ca="1" si="236"/>
        <v>0.16793893129770968</v>
      </c>
      <c r="DE257" s="24">
        <f t="shared" ca="1" si="237"/>
        <v>0.30229007633587746</v>
      </c>
      <c r="DF257" s="24">
        <f t="shared" ca="1" si="238"/>
        <v>0.50381679389312906</v>
      </c>
      <c r="DG257" s="24">
        <f t="shared" ca="1" si="239"/>
        <v>0.75572519083969358</v>
      </c>
      <c r="DI257" s="19" cm="1">
        <f t="array" aca="1" ref="DI257" ca="1">MAX(_xlfn._xlws.FILTER(CT257:DG257,CT257:DG257&lt;BP257))</f>
        <v>-2.3253082795067496E-2</v>
      </c>
      <c r="DJ257" s="19" cm="1">
        <f t="array" aca="1" ref="DJ257" ca="1">MIN(_xlfn._xlws.FILTER(CT257:DG257,CT257:DG257&gt;BP257))</f>
        <v>2.3253082795067496E-2</v>
      </c>
      <c r="DK257" s="2" cm="1">
        <f t="array" aca="1" ref="DK257" ca="1">_FV(EH257,"Fechamento anterior",TRUE)</f>
        <v>2.54</v>
      </c>
      <c r="DL257" s="36">
        <f ca="1">(BJ257-DM257)/(DN257-DM257)</f>
        <v>0.92327805615207159</v>
      </c>
      <c r="DM257" s="18">
        <f t="shared" ca="1" si="240"/>
        <v>2.4809371697005287</v>
      </c>
      <c r="DN257" s="18">
        <f t="shared" ca="1" si="241"/>
        <v>2.5990628302994714</v>
      </c>
      <c r="DO257" s="9"/>
      <c r="DP257" s="9"/>
      <c r="DQ257" s="94">
        <v>2.5201964843908565E-2</v>
      </c>
      <c r="DR257" s="94">
        <v>2.5201964843908565E-2</v>
      </c>
      <c r="DS257" s="94">
        <v>4.3996738935179421E-2</v>
      </c>
      <c r="DT257" s="94">
        <f t="shared" ca="1" si="200"/>
        <v>4.6506165590134992E-2</v>
      </c>
      <c r="DU257" s="87">
        <f ca="1">(BJ257-CF257)/(CF257-CE257)</f>
        <v>0.87372107118008502</v>
      </c>
      <c r="DV257" s="46"/>
      <c r="DW257" s="43">
        <f>_xlfn.STDEV.P(BF257:BI257)</f>
        <v>8.011710179481038E-2</v>
      </c>
      <c r="DX257" s="76">
        <f ca="1">BO257-$DT$2</f>
        <v>0.82050000000000001</v>
      </c>
      <c r="DY257" s="76">
        <f ca="1">BO257-BP257*100</f>
        <v>-0.15089999999999959</v>
      </c>
      <c r="DZ257" s="101"/>
      <c r="EA257" s="100">
        <v>-8.5899999999999643E-2</v>
      </c>
      <c r="EB257" s="107">
        <v>-1.0747000000000004</v>
      </c>
      <c r="EC257" s="107">
        <v>-0.21129999999999982</v>
      </c>
      <c r="ED257" s="98">
        <f t="shared" ca="1" si="224"/>
        <v>0.9713999999999996</v>
      </c>
      <c r="EE257" s="66"/>
      <c r="EF257" s="66"/>
      <c r="EH257" s="2" t="e" vm="259">
        <v>#VALUE!</v>
      </c>
      <c r="EJ257" s="10" cm="1">
        <f t="array" aca="1" ref="EJ257" ca="1">_FV(EH257,"Ações em circulação",TRUE)</f>
        <v>206917300</v>
      </c>
      <c r="EK257" s="21">
        <f>VLOOKUP(BK257,Fundamentus!A:U,5,FALSE)</f>
        <v>0.17799999999999999</v>
      </c>
      <c r="EL257" s="2">
        <f ca="1">(BJ257*EJ257)/EK257</f>
        <v>3010762960.6741576</v>
      </c>
      <c r="EM257" s="20">
        <v>-91236579.819101125</v>
      </c>
      <c r="EN257" s="20">
        <f t="shared" ca="1" si="201"/>
        <v>-93032575.484831467</v>
      </c>
      <c r="EP257" s="19">
        <f t="shared" ca="1" si="197"/>
        <v>1.9685039370078705E-2</v>
      </c>
      <c r="EQ257" s="40" t="str">
        <f>IF(VLOOKUP(BK257,Fundamentus!A:U,3,FALSE)&lt;15,"Bom",IF(VLOOKUP(BK257,Fundamentus!A:U,3,FALSE)&gt;15,"Ruim","n/a"))</f>
        <v>Bom</v>
      </c>
      <c r="ER257" s="36" t="str">
        <f>IF(VLOOKUP(BK257,Fundamentus!A:U,4,FALSE)&lt;1,"Baixo",IF(VLOOKUP(BK257,Fundamentus!A:U,4,FALSE)&lt;1.5,"Moderado",IF(VLOOKUP(BK257,Fundamentus!A:U,4,FALSE)&gt;1.5,"Alto","n/a")))</f>
        <v>Baixo</v>
      </c>
      <c r="ES257" s="20" t="str">
        <f>IF(VLOOKUP(BK257,Fundamentus!A:U,8,FALSE)&lt;0,"Risco elevado",IF(VLOOKUP(BK257,Fundamentus!A:U,8,FALSE)&lt;1,"Saudável",IF(VLOOKUP(BK257,Fundamentus!A:U,8,FALSE)&lt;3,"Estável",IF(VLOOKUP(BK257,Fundamentus!A:U,8,FALSE)&gt;3,"Alerta","n/a"))))</f>
        <v>Saudável</v>
      </c>
      <c r="ET257" s="36" t="str">
        <f t="shared" si="202"/>
        <v>Ruim</v>
      </c>
      <c r="EU257" s="20" t="str">
        <f>IF(VLOOKUP(BK257,Fundamentus!A:U,12,FALSE)&lt;2,"Subvalorizada",IF(VLOOKUP(BK257,Fundamentus!A:U,12,FALSE)&lt;6,"Muita barata",IF(VLOOKUP(BK257,Fundamentus!A:U,12,FALSE)&lt;6,"Barata",IF(VLOOKUP(BK257,Fundamentus!A:U,12,FALSE)&lt;8,"Atrativa",IF(VLOOKUP(BK257,Fundamentus!A:U,12,FALSE)&gt;8,"Supervalorizada","n/a")))))</f>
        <v>Muita barata</v>
      </c>
      <c r="EW257" s="20" t="str">
        <f>IF(VLOOKUP(BK257,Fundamentus!A:U,17,FALSE)&lt;0.1,"Fraco retorno",IF(VLOOKUP(BK257,Fundamentus!A:U,17,FALSE)&gt;0.1,"Bom retorno","n/a"))</f>
        <v>Fraco retorno</v>
      </c>
      <c r="EX257" s="20" t="str">
        <f>IF(VLOOKUP(BK257,Fundamentus!A:U,16,FALSE)&lt;0.1,"Ineficiente",IF(VLOOKUP(BK257,Fundamentus!A:U,16,FALSE)&gt;0.1,"Eficiente","n/a"))</f>
        <v>Ineficiente</v>
      </c>
      <c r="EY257" s="41" t="str">
        <f>IF(VLOOKUP(BK257,Fundamentus!A:U,16,FALSE)&lt;0.1,"Oper. Ineficiente",IF(VLOOKUP(BK257,Fundamentus!A:U,16,FALSE)&gt;0.1,"Oper.Eficiente","n/a"))</f>
        <v>Oper. Ineficiente</v>
      </c>
      <c r="EZ257" s="42">
        <f>VLOOKUP(BK257,Fundamentus!A:U,14,FALSE)</f>
        <v>-3.09E-2</v>
      </c>
      <c r="FA257" s="20" t="str">
        <f>IF(VLOOKUP(BK257,Fundamentus!A:U,21,FALSE)&lt;0,"Negativo",IF(VLOOKUP(BK257,Fundamentus!A:U,21,FALSE)&lt;0.05,"Fraco",IF(VLOOKUP(BK257,Fundamentus!A:U,21,FALSE)&lt;0.1,"Bom",IF(VLOOKUP(BK257,Fundamentus!A:U,21,FALSE)&gt;0.1,"Muito bom","n/a"))))</f>
        <v>Muito bom</v>
      </c>
      <c r="FC257" s="37" t="str">
        <f>IF(VLOOKUP(BK257,Fundamentus!A:U,15,FALSE)&gt;1,"Bom",IF(VLOOKUP(BK257,Fundamentus!A:U,15,FALSE)&lt;1,"Ruim","n/a"))</f>
        <v>Bom</v>
      </c>
      <c r="FD257" s="20" t="str">
        <f>IF(VLOOKUP(BK257,Fundamentus!A:U,20,FALSE)&lt;0.5,"Baixa",IF(VLOOKUP(BK257,Fundamentus!A:U,20,FALSE)&lt;1,"Moderada",IF(VLOOKUP(BK257,Fundamentus!A:U,20,FALSE)&lt;2,"Alerta",IF(VLOOKUP(BK257,Fundamentus!A:U,20,FALSE)&gt;2,"Alta","n/a"))))</f>
        <v>Moderada</v>
      </c>
    </row>
    <row r="258" spans="1:160" s="2" customFormat="1" ht="11.25" hidden="1"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8">
        <v>0.94</v>
      </c>
      <c r="BC258" s="62">
        <v>0.91</v>
      </c>
      <c r="BD258" s="62">
        <v>0.92</v>
      </c>
      <c r="BE258" s="62">
        <v>0.91</v>
      </c>
      <c r="BF258" s="62">
        <v>0.89</v>
      </c>
      <c r="BG258" s="81">
        <v>0.88</v>
      </c>
      <c r="BH258" s="62">
        <v>0.88</v>
      </c>
      <c r="BI258" s="62">
        <v>0.87</v>
      </c>
      <c r="BJ258" s="62" cm="1">
        <f t="array" aca="1" ref="BJ258" ca="1">_FV(EH258,"Preço")</f>
        <v>0.87</v>
      </c>
      <c r="BK258" s="83" t="s">
        <v>254</v>
      </c>
      <c r="BL258" s="44" cm="1">
        <f t="array" aca="1" ref="BL258" ca="1">_FV(EH258,"Média de volume",TRUE)</f>
        <v>18770</v>
      </c>
      <c r="BM258" s="44">
        <v>10900</v>
      </c>
      <c r="BN258" s="44" cm="1">
        <f t="array" aca="1" ref="BN258" ca="1">_FV(EH258,"Volume")</f>
        <v>3500</v>
      </c>
      <c r="BO258" s="32" cm="1">
        <f t="array" aca="1" ref="BO258" ca="1">_FV(EH258,"Beta")</f>
        <v>1.6329</v>
      </c>
      <c r="BP258" s="86" cm="1">
        <f t="array" aca="1" ref="BP258" ca="1">_FV(EH258,"Variação (%)",TRUE)</f>
        <v>0</v>
      </c>
      <c r="BQ258" s="48"/>
      <c r="BR258" s="48"/>
      <c r="BT258" s="20" cm="1">
        <f t="array" aca="1" ref="BT258" ca="1">_FV(EH258,"Baixo")</f>
        <v>0.86</v>
      </c>
      <c r="BU258" s="20" cm="1">
        <f t="array" aca="1" ref="BU258" ca="1">_FV(EH258,"Alto")</f>
        <v>0.88</v>
      </c>
      <c r="BV258" s="32"/>
      <c r="BW258" s="73" t="e">
        <f ca="1">SQRT(22.5*(BJ258/VLOOKUP(BK258,Fundamentus!A:U,3,FALSE))*(BJ258/VLOOKUP(BK258,Fundamentus!A:U,4,FALSE)))</f>
        <v>#NUM!</v>
      </c>
      <c r="BY258" s="72">
        <f t="shared" ca="1" si="198"/>
        <v>0</v>
      </c>
      <c r="BZ258" s="8"/>
      <c r="CA258" s="71">
        <f t="shared" si="205"/>
        <v>0.87</v>
      </c>
      <c r="CB258" s="71">
        <f t="shared" si="199"/>
        <v>2.98</v>
      </c>
      <c r="CC258" s="71">
        <f t="shared" si="206"/>
        <v>1.6019672131147533</v>
      </c>
      <c r="CD258" s="17"/>
      <c r="CE258" s="43">
        <f t="shared" si="203"/>
        <v>0.85085786437627098</v>
      </c>
      <c r="CF258" s="18">
        <f>FORECAST("04/07/2025", BF258:BI258, $BF$5:$BI$5)</f>
        <v>0.86500000000000199</v>
      </c>
      <c r="CG258" s="43">
        <f t="shared" si="204"/>
        <v>0.879142135623733</v>
      </c>
      <c r="CI258" s="17"/>
      <c r="CJ258" s="20">
        <f>CA258-2*(CB258-CM258)</f>
        <v>-1.9433333333333334</v>
      </c>
      <c r="CK258" s="20">
        <f>CM258-(CB258-CA258)</f>
        <v>-0.53666666666666663</v>
      </c>
      <c r="CL258" s="20">
        <f>2*CM258-CB258</f>
        <v>0.16666666666666652</v>
      </c>
      <c r="CM258" s="48">
        <f>(CB258+CA258+BI258)/3</f>
        <v>1.5733333333333333</v>
      </c>
      <c r="CN258" s="20">
        <f>2*CM258-CA258</f>
        <v>2.2766666666666664</v>
      </c>
      <c r="CO258" s="20">
        <f>CM258+(CB258-CA258)</f>
        <v>3.6833333333333331</v>
      </c>
      <c r="CP258" s="20">
        <f>CB258+2*(CM258-CA258)</f>
        <v>4.3866666666666667</v>
      </c>
      <c r="CQ258" s="2" cm="1">
        <f t="array" aca="1" ref="CQ258" ca="1">MAX(_xlfn._xlws.FILTER(CJ258:CP258,CJ258:CP258&lt;BJ258))</f>
        <v>0.16666666666666652</v>
      </c>
      <c r="CR258" s="2" cm="1">
        <f t="array" aca="1" ref="CR258" ca="1">MIN(_xlfn._xlws.FILTER($CJ258:$CP258,$CJ258:$CP258&gt;BJ258))</f>
        <v>1.5733333333333333</v>
      </c>
      <c r="CS258" s="19">
        <f t="shared" ca="1" si="225"/>
        <v>8.4400000000000084</v>
      </c>
      <c r="CT258" s="23">
        <f t="shared" ca="1" si="226"/>
        <v>-4.2200000000000042</v>
      </c>
      <c r="CU258" s="23">
        <f t="shared" ca="1" si="227"/>
        <v>-2.8133333333333361</v>
      </c>
      <c r="CV258" s="23">
        <f t="shared" ca="1" si="228"/>
        <v>-1.6880000000000017</v>
      </c>
      <c r="CW258" s="23">
        <f t="shared" ca="1" si="229"/>
        <v>-0.93777777777777871</v>
      </c>
      <c r="CX258" s="23">
        <f t="shared" ca="1" si="230"/>
        <v>-0.49647058823529461</v>
      </c>
      <c r="CY258" s="23">
        <f t="shared" ca="1" si="231"/>
        <v>-0.25575757575757602</v>
      </c>
      <c r="CZ258" s="23">
        <f t="shared" ca="1" si="232"/>
        <v>-0.12984615384615397</v>
      </c>
      <c r="DA258" s="24">
        <f t="shared" ca="1" si="233"/>
        <v>0.12984615384615397</v>
      </c>
      <c r="DB258" s="24">
        <f t="shared" ca="1" si="234"/>
        <v>0.25575757575757602</v>
      </c>
      <c r="DC258" s="24">
        <f t="shared" ca="1" si="235"/>
        <v>0.49647058823529461</v>
      </c>
      <c r="DD258" s="24">
        <f t="shared" ca="1" si="236"/>
        <v>0.93777777777777871</v>
      </c>
      <c r="DE258" s="24">
        <f t="shared" ca="1" si="237"/>
        <v>1.6880000000000017</v>
      </c>
      <c r="DF258" s="24">
        <f t="shared" ca="1" si="238"/>
        <v>2.8133333333333361</v>
      </c>
      <c r="DG258" s="24">
        <f t="shared" ca="1" si="239"/>
        <v>4.2200000000000042</v>
      </c>
      <c r="DI258" s="19" cm="1">
        <f t="array" aca="1" ref="DI258" ca="1">MAX(_xlfn._xlws.FILTER(CT258:DG258,CT258:DG258&lt;BP258))</f>
        <v>-0.12984615384615397</v>
      </c>
      <c r="DJ258" s="19" cm="1">
        <f t="array" aca="1" ref="DJ258" ca="1">MIN(_xlfn._xlws.FILTER(CT258:DG258,CT258:DG258&gt;BP258))</f>
        <v>0.12984615384615397</v>
      </c>
      <c r="DK258" s="2" cm="1">
        <f t="array" aca="1" ref="DK258" ca="1">_FV(EH258,"Fechamento anterior",TRUE)</f>
        <v>0.87</v>
      </c>
      <c r="DL258" s="36">
        <f ca="1">(BJ258-DM258)/(DN258-DM258)</f>
        <v>0.5</v>
      </c>
      <c r="DM258" s="18">
        <f t="shared" ca="1" si="240"/>
        <v>0.75703384615384606</v>
      </c>
      <c r="DN258" s="18">
        <f t="shared" ca="1" si="241"/>
        <v>0.98296615384615393</v>
      </c>
      <c r="DO258" s="9"/>
      <c r="DP258" s="9"/>
      <c r="DQ258" s="94">
        <v>0.19550295857988154</v>
      </c>
      <c r="DR258" s="94">
        <v>0.22510121457489879</v>
      </c>
      <c r="DS258" s="94">
        <v>0.23931623931623908</v>
      </c>
      <c r="DT258" s="94">
        <f t="shared" ca="1" si="200"/>
        <v>0.25969230769230794</v>
      </c>
      <c r="DU258" s="87">
        <f ca="1">(BJ258-CF258)/(CF258-CE258)</f>
        <v>0.35355339059313123</v>
      </c>
      <c r="DV258" s="46"/>
      <c r="DW258" s="43">
        <f>_xlfn.STDEV.P(BF258:BI258)</f>
        <v>7.0710678118654814E-3</v>
      </c>
      <c r="DX258" s="76">
        <f ca="1">BO258-$DT$2</f>
        <v>0.63579999999999992</v>
      </c>
      <c r="DY258" s="76">
        <f ca="1">BO258-BP258*100</f>
        <v>1.6329</v>
      </c>
      <c r="DZ258" s="101"/>
      <c r="EA258" s="100">
        <v>-0.82489999999999997</v>
      </c>
      <c r="EB258" s="107">
        <v>1.2419000000000002</v>
      </c>
      <c r="EC258" s="107">
        <v>0.18090000000000006</v>
      </c>
      <c r="ED258" s="98">
        <f t="shared" ca="1" si="224"/>
        <v>-0.9971000000000001</v>
      </c>
      <c r="EE258" s="66"/>
      <c r="EF258" s="66"/>
      <c r="EH258" s="2" t="e" vm="260">
        <v>#VALUE!</v>
      </c>
      <c r="EJ258" s="10" cm="1">
        <f t="array" aca="1" ref="EJ258" ca="1">_FV(EH258,"Ações em circulação",TRUE)</f>
        <v>38366080</v>
      </c>
      <c r="EK258" s="21">
        <f>VLOOKUP(BK258,Fundamentus!A:U,5,FALSE)</f>
        <v>0.3</v>
      </c>
      <c r="EL258" s="2">
        <f ca="1">(BJ258*EJ258)/EK258</f>
        <v>111261632.00000001</v>
      </c>
      <c r="EM258" s="20">
        <v>-42668835.872000009</v>
      </c>
      <c r="EN258" s="20">
        <f t="shared" ca="1" si="201"/>
        <v>-42668835.872000009</v>
      </c>
      <c r="EP258" s="19">
        <f t="shared" ca="1" si="197"/>
        <v>0</v>
      </c>
      <c r="EQ258" s="40" t="str">
        <f>IF(VLOOKUP(BK258,Fundamentus!A:U,3,FALSE)&lt;15,"Bom",IF(VLOOKUP(BK258,Fundamentus!A:U,3,FALSE)&gt;15,"Ruim","n/a"))</f>
        <v>Bom</v>
      </c>
      <c r="ER258" s="36" t="str">
        <f>IF(VLOOKUP(BK258,Fundamentus!A:U,4,FALSE)&lt;1,"Baixo",IF(VLOOKUP(BK258,Fundamentus!A:U,4,FALSE)&lt;1.5,"Moderado",IF(VLOOKUP(BK258,Fundamentus!A:U,4,FALSE)&gt;1.5,"Alto","n/a")))</f>
        <v>Baixo</v>
      </c>
      <c r="ES258" s="20" t="str">
        <f>IF(VLOOKUP(BK258,Fundamentus!A:U,8,FALSE)&lt;0,"Risco elevado",IF(VLOOKUP(BK258,Fundamentus!A:U,8,FALSE)&lt;1,"Saudável",IF(VLOOKUP(BK258,Fundamentus!A:U,8,FALSE)&lt;3,"Estável",IF(VLOOKUP(BK258,Fundamentus!A:U,8,FALSE)&gt;3,"Alerta","n/a"))))</f>
        <v>Saudável</v>
      </c>
      <c r="ET258" s="36" t="str">
        <f t="shared" si="202"/>
        <v>Ruim</v>
      </c>
      <c r="EU258" s="20" t="str">
        <f>IF(VLOOKUP(BK258,Fundamentus!A:U,12,FALSE)&lt;2,"Subvalorizada",IF(VLOOKUP(BK258,Fundamentus!A:U,12,FALSE)&lt;6,"Muita barata",IF(VLOOKUP(BK258,Fundamentus!A:U,12,FALSE)&lt;6,"Barata",IF(VLOOKUP(BK258,Fundamentus!A:U,12,FALSE)&lt;8,"Atrativa",IF(VLOOKUP(BK258,Fundamentus!A:U,12,FALSE)&gt;8,"Supervalorizada","n/a")))))</f>
        <v>Supervalorizada</v>
      </c>
      <c r="EW258" s="20" t="str">
        <f>IF(VLOOKUP(BK258,Fundamentus!A:U,17,FALSE)&lt;0.1,"Fraco retorno",IF(VLOOKUP(BK258,Fundamentus!A:U,17,FALSE)&gt;0.1,"Bom retorno","n/a"))</f>
        <v>Fraco retorno</v>
      </c>
      <c r="EX258" s="20" t="str">
        <f>IF(VLOOKUP(BK258,Fundamentus!A:U,16,FALSE)&lt;0.1,"Ineficiente",IF(VLOOKUP(BK258,Fundamentus!A:U,16,FALSE)&gt;0.1,"Eficiente","n/a"))</f>
        <v>Ineficiente</v>
      </c>
      <c r="EY258" s="41" t="str">
        <f>IF(VLOOKUP(BK258,Fundamentus!A:U,16,FALSE)&lt;0.1,"Oper. Ineficiente",IF(VLOOKUP(BK258,Fundamentus!A:U,16,FALSE)&gt;0.1,"Oper.Eficiente","n/a"))</f>
        <v>Oper. Ineficiente</v>
      </c>
      <c r="EZ258" s="42">
        <f>VLOOKUP(BK258,Fundamentus!A:U,14,FALSE)</f>
        <v>-0.38350000000000001</v>
      </c>
      <c r="FA258" s="20" t="str">
        <f>IF(VLOOKUP(BK258,Fundamentus!A:U,21,FALSE)&lt;0,"Negativo",IF(VLOOKUP(BK258,Fundamentus!A:U,21,FALSE)&lt;0.05,"Fraco",IF(VLOOKUP(BK258,Fundamentus!A:U,21,FALSE)&lt;0.1,"Bom",IF(VLOOKUP(BK258,Fundamentus!A:U,21,FALSE)&gt;0.1,"Muito bom","n/a"))))</f>
        <v>Muito bom</v>
      </c>
      <c r="FC258" s="37" t="str">
        <f>IF(VLOOKUP(BK258,Fundamentus!A:U,15,FALSE)&gt;1,"Bom",IF(VLOOKUP(BK258,Fundamentus!A:U,15,FALSE)&lt;1,"Ruim","n/a"))</f>
        <v>Bom</v>
      </c>
      <c r="FD258" s="20" t="str">
        <f>IF(VLOOKUP(BK258,Fundamentus!A:U,20,FALSE)&lt;0.5,"Baixa",IF(VLOOKUP(BK258,Fundamentus!A:U,20,FALSE)&lt;1,"Moderada",IF(VLOOKUP(BK258,Fundamentus!A:U,20,FALSE)&lt;2,"Alerta",IF(VLOOKUP(BK258,Fundamentus!A:U,20,FALSE)&gt;2,"Alta","n/a"))))</f>
        <v>Baixa</v>
      </c>
    </row>
    <row r="259" spans="1:160" s="2" customFormat="1" ht="11.25" hidden="1"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8">
        <v>1.76</v>
      </c>
      <c r="BC259" s="62">
        <v>1.86</v>
      </c>
      <c r="BD259" s="62">
        <v>1.7</v>
      </c>
      <c r="BE259" s="62">
        <v>1.59</v>
      </c>
      <c r="BF259" s="62">
        <v>1.53</v>
      </c>
      <c r="BG259" s="81">
        <v>1.5</v>
      </c>
      <c r="BH259" s="62">
        <v>1.33</v>
      </c>
      <c r="BI259" s="62">
        <v>1.29</v>
      </c>
      <c r="BJ259" s="62" cm="1">
        <f t="array" aca="1" ref="BJ259" ca="1">_FV(EH259,"Preço")</f>
        <v>1.31</v>
      </c>
      <c r="BK259" s="83" t="s">
        <v>255</v>
      </c>
      <c r="BL259" s="44" cm="1">
        <f t="array" aca="1" ref="BL259" ca="1">_FV(EH259,"Média de volume",TRUE)</f>
        <v>1739760</v>
      </c>
      <c r="BM259" s="44">
        <v>985700</v>
      </c>
      <c r="BN259" s="44" cm="1">
        <f t="array" aca="1" ref="BN259" ca="1">_FV(EH259,"Volume")</f>
        <v>366800</v>
      </c>
      <c r="BO259" s="32" cm="1">
        <f t="array" aca="1" ref="BO259" ca="1">_FV(EH259,"Beta")</f>
        <v>1.052</v>
      </c>
      <c r="BP259" s="86" cm="1">
        <f t="array" aca="1" ref="BP259" ca="1">_FV(EH259,"Variação (%)",TRUE)</f>
        <v>1.5504E-2</v>
      </c>
      <c r="BQ259" s="48"/>
      <c r="BR259" s="48"/>
      <c r="BT259" s="20" cm="1">
        <f t="array" aca="1" ref="BT259" ca="1">_FV(EH259,"Baixo")</f>
        <v>1.29</v>
      </c>
      <c r="BU259" s="20" cm="1">
        <f t="array" aca="1" ref="BU259" ca="1">_FV(EH259,"Alto")</f>
        <v>1.34</v>
      </c>
      <c r="BV259" s="32"/>
      <c r="BW259" s="73" t="e">
        <f ca="1">SQRT(22.5*(BJ259/VLOOKUP(BK259,Fundamentus!A:U,3,FALSE))*(BJ259/VLOOKUP(BK259,Fundamentus!A:U,4,FALSE)))</f>
        <v>#NUM!</v>
      </c>
      <c r="BY259" s="72">
        <f t="shared" ca="1" si="198"/>
        <v>1.5503875968992262E-2</v>
      </c>
      <c r="BZ259" s="8"/>
      <c r="CA259" s="71">
        <f t="shared" si="205"/>
        <v>1.29</v>
      </c>
      <c r="CB259" s="71">
        <f t="shared" si="199"/>
        <v>4.6900000000000004</v>
      </c>
      <c r="CC259" s="71">
        <f t="shared" si="206"/>
        <v>2.4616393442622955</v>
      </c>
      <c r="CD259" s="17"/>
      <c r="CE259" s="43">
        <f t="shared" si="203"/>
        <v>0.98197355937290742</v>
      </c>
      <c r="CF259" s="18">
        <f>FORECAST("04/07/2025", BF259:BI259, $BF$5:$BI$5)</f>
        <v>1.1900000000000546</v>
      </c>
      <c r="CG259" s="43">
        <f t="shared" si="204"/>
        <v>1.3980264406272016</v>
      </c>
      <c r="CI259" s="17"/>
      <c r="CJ259" s="20">
        <f>CA259-2*(CB259-CM259)</f>
        <v>-3.2433333333333341</v>
      </c>
      <c r="CK259" s="20">
        <f>CM259-(CB259-CA259)</f>
        <v>-0.97666666666666702</v>
      </c>
      <c r="CL259" s="20">
        <f>2*CM259-CB259</f>
        <v>0.15666666666666629</v>
      </c>
      <c r="CM259" s="48">
        <f>(CB259+CA259+BI259)/3</f>
        <v>2.4233333333333333</v>
      </c>
      <c r="CN259" s="20">
        <f>2*CM259-CA259</f>
        <v>3.5566666666666666</v>
      </c>
      <c r="CO259" s="20">
        <f>CM259+(CB259-CA259)</f>
        <v>5.8233333333333341</v>
      </c>
      <c r="CP259" s="20">
        <f>CB259+2*(CM259-CA259)</f>
        <v>6.956666666666667</v>
      </c>
      <c r="CQ259" s="2" cm="1">
        <f t="array" aca="1" ref="CQ259" ca="1">MAX(_xlfn._xlws.FILTER(CJ259:CP259,CJ259:CP259&lt;BJ259))</f>
        <v>0.15666666666666629</v>
      </c>
      <c r="CR259" s="2" cm="1">
        <f t="array" aca="1" ref="CR259" ca="1">MIN(_xlfn._xlws.FILTER($CJ259:$CP259,$CJ259:$CP259&gt;BJ259))</f>
        <v>2.4233333333333333</v>
      </c>
      <c r="CS259" s="19">
        <f t="shared" ca="1" si="225"/>
        <v>14.468085106383016</v>
      </c>
      <c r="CT259" s="23">
        <f t="shared" ca="1" si="226"/>
        <v>-7.2340425531915082</v>
      </c>
      <c r="CU259" s="23">
        <f t="shared" ca="1" si="227"/>
        <v>-4.8226950354610052</v>
      </c>
      <c r="CV259" s="23">
        <f t="shared" ca="1" si="228"/>
        <v>-2.8936170212766035</v>
      </c>
      <c r="CW259" s="23">
        <f t="shared" ca="1" si="229"/>
        <v>-1.6075650118203351</v>
      </c>
      <c r="CX259" s="23">
        <f t="shared" ca="1" si="230"/>
        <v>-0.85106382978723627</v>
      </c>
      <c r="CY259" s="23">
        <f t="shared" ca="1" si="231"/>
        <v>-0.43842682140554595</v>
      </c>
      <c r="CZ259" s="23">
        <f t="shared" ca="1" si="232"/>
        <v>-0.22258592471358488</v>
      </c>
      <c r="DA259" s="24">
        <f t="shared" ca="1" si="233"/>
        <v>0.22258592471358488</v>
      </c>
      <c r="DB259" s="24">
        <f t="shared" ca="1" si="234"/>
        <v>0.43842682140554595</v>
      </c>
      <c r="DC259" s="24">
        <f t="shared" ca="1" si="235"/>
        <v>0.85106382978723627</v>
      </c>
      <c r="DD259" s="24">
        <f t="shared" ca="1" si="236"/>
        <v>1.6075650118203351</v>
      </c>
      <c r="DE259" s="24">
        <f t="shared" ca="1" si="237"/>
        <v>2.8936170212766035</v>
      </c>
      <c r="DF259" s="24">
        <f t="shared" ca="1" si="238"/>
        <v>4.8226950354610052</v>
      </c>
      <c r="DG259" s="24">
        <f t="shared" ca="1" si="239"/>
        <v>7.2340425531915082</v>
      </c>
      <c r="DI259" s="19" cm="1">
        <f t="array" aca="1" ref="DI259" ca="1">MAX(_xlfn._xlws.FILTER(CT259:DG259,CT259:DG259&lt;BP259))</f>
        <v>-0.22258592471358488</v>
      </c>
      <c r="DJ259" s="19" cm="1">
        <f t="array" aca="1" ref="DJ259" ca="1">MIN(_xlfn._xlws.FILTER(CT259:DG259,CT259:DG259&gt;BP259))</f>
        <v>0.22258592471358488</v>
      </c>
      <c r="DK259" s="2" cm="1">
        <f t="array" aca="1" ref="DK259" ca="1">_FV(EH259,"Fechamento anterior",TRUE)</f>
        <v>1.29</v>
      </c>
      <c r="DL259" s="36">
        <f ca="1">(BJ259-DM259)/(DN259-DM259)</f>
        <v>0.53482672138622889</v>
      </c>
      <c r="DM259" s="18">
        <f t="shared" ca="1" si="240"/>
        <v>1.0028641571194754</v>
      </c>
      <c r="DN259" s="18">
        <f t="shared" ca="1" si="241"/>
        <v>1.5771358428805247</v>
      </c>
      <c r="DO259" s="9"/>
      <c r="DP259" s="9"/>
      <c r="DQ259" s="94">
        <v>0.11423307231690474</v>
      </c>
      <c r="DR259" s="94">
        <v>0.1359870898332437</v>
      </c>
      <c r="DS259" s="94">
        <v>0.14985320023487969</v>
      </c>
      <c r="DT259" s="94">
        <f t="shared" ca="1" si="200"/>
        <v>0.44517184942716975</v>
      </c>
      <c r="DU259" s="87">
        <f ca="1">(BJ259-CF259)/(CF259-CE259)</f>
        <v>0.57684974870586547</v>
      </c>
      <c r="DV259" s="46"/>
      <c r="DW259" s="43">
        <f>_xlfn.STDEV.P(BF259:BI259)</f>
        <v>0.10401322031357357</v>
      </c>
      <c r="DX259" s="76">
        <f ca="1">BO259-$DT$2</f>
        <v>5.4899999999999949E-2</v>
      </c>
      <c r="DY259" s="76">
        <f ca="1">BO259-BP259*100</f>
        <v>-0.49839999999999995</v>
      </c>
      <c r="DZ259" s="101"/>
      <c r="EA259" s="100">
        <v>-2.3859000000000004</v>
      </c>
      <c r="EB259" s="107">
        <v>-7.0339999999999998</v>
      </c>
      <c r="EC259" s="107">
        <v>-2.8266</v>
      </c>
      <c r="ED259" s="98">
        <f t="shared" ca="1" si="224"/>
        <v>0.5532999999999999</v>
      </c>
      <c r="EE259" s="66"/>
      <c r="EF259" s="66"/>
      <c r="EH259" s="2" t="e" vm="261">
        <v>#VALUE!</v>
      </c>
      <c r="EJ259" s="10" cm="1">
        <f t="array" aca="1" ref="EJ259" ca="1">_FV(EH259,"Ações em circulação",TRUE)</f>
        <v>1255007000</v>
      </c>
      <c r="EK259" s="21">
        <f>VLOOKUP(BK259,Fundamentus!A:U,5,FALSE)</f>
        <v>0.122</v>
      </c>
      <c r="EL259" s="2">
        <f ca="1">(BJ259*EJ259)/EK259</f>
        <v>13475894836.065575</v>
      </c>
      <c r="EM259" s="20">
        <v>-974029449.19672143</v>
      </c>
      <c r="EN259" s="20">
        <f t="shared" ca="1" si="201"/>
        <v>-989130680.96721327</v>
      </c>
      <c r="EP259" s="19">
        <f t="shared" ref="EP259:EP271" ca="1" si="242">(EN259/EM259)-1</f>
        <v>1.5503875968992276E-2</v>
      </c>
      <c r="EQ259" s="40" t="str">
        <f>IF(VLOOKUP(BK259,Fundamentus!A:U,3,FALSE)&lt;15,"Bom",IF(VLOOKUP(BK259,Fundamentus!A:U,3,FALSE)&gt;15,"Ruim","n/a"))</f>
        <v>Bom</v>
      </c>
      <c r="ER259" s="36" t="str">
        <f>IF(VLOOKUP(BK259,Fundamentus!A:U,4,FALSE)&lt;1,"Baixo",IF(VLOOKUP(BK259,Fundamentus!A:U,4,FALSE)&lt;1.5,"Moderado",IF(VLOOKUP(BK259,Fundamentus!A:U,4,FALSE)&gt;1.5,"Alto","n/a")))</f>
        <v>Baixo</v>
      </c>
      <c r="ES259" s="20" t="str">
        <f>IF(VLOOKUP(BK259,Fundamentus!A:U,8,FALSE)&lt;0,"Risco elevado",IF(VLOOKUP(BK259,Fundamentus!A:U,8,FALSE)&lt;1,"Saudável",IF(VLOOKUP(BK259,Fundamentus!A:U,8,FALSE)&lt;3,"Estável",IF(VLOOKUP(BK259,Fundamentus!A:U,8,FALSE)&gt;3,"Alerta","n/a"))))</f>
        <v>Saudável</v>
      </c>
      <c r="ET259" s="36" t="str">
        <f t="shared" si="202"/>
        <v>Ruim</v>
      </c>
      <c r="EU259" s="20" t="str">
        <f>IF(VLOOKUP(BK259,Fundamentus!A:U,12,FALSE)&lt;2,"Subvalorizada",IF(VLOOKUP(BK259,Fundamentus!A:U,12,FALSE)&lt;6,"Muita barata",IF(VLOOKUP(BK259,Fundamentus!A:U,12,FALSE)&lt;6,"Barata",IF(VLOOKUP(BK259,Fundamentus!A:U,12,FALSE)&lt;8,"Atrativa",IF(VLOOKUP(BK259,Fundamentus!A:U,12,FALSE)&gt;8,"Supervalorizada","n/a")))))</f>
        <v>Muita barata</v>
      </c>
      <c r="EW259" s="20" t="str">
        <f>IF(VLOOKUP(BK259,Fundamentus!A:U,17,FALSE)&lt;0.1,"Fraco retorno",IF(VLOOKUP(BK259,Fundamentus!A:U,17,FALSE)&gt;0.1,"Bom retorno","n/a"))</f>
        <v>Fraco retorno</v>
      </c>
      <c r="EX259" s="20" t="str">
        <f>IF(VLOOKUP(BK259,Fundamentus!A:U,16,FALSE)&lt;0.1,"Ineficiente",IF(VLOOKUP(BK259,Fundamentus!A:U,16,FALSE)&gt;0.1,"Eficiente","n/a"))</f>
        <v>Ineficiente</v>
      </c>
      <c r="EY259" s="41" t="str">
        <f>IF(VLOOKUP(BK259,Fundamentus!A:U,16,FALSE)&lt;0.1,"Oper. Ineficiente",IF(VLOOKUP(BK259,Fundamentus!A:U,16,FALSE)&gt;0.1,"Oper.Eficiente","n/a"))</f>
        <v>Oper. Ineficiente</v>
      </c>
      <c r="EZ259" s="42">
        <f>VLOOKUP(BK259,Fundamentus!A:U,14,FALSE)</f>
        <v>-7.3400000000000007E-2</v>
      </c>
      <c r="FA259" s="20" t="str">
        <f>IF(VLOOKUP(BK259,Fundamentus!A:U,21,FALSE)&lt;0,"Negativo",IF(VLOOKUP(BK259,Fundamentus!A:U,21,FALSE)&lt;0.05,"Fraco",IF(VLOOKUP(BK259,Fundamentus!A:U,21,FALSE)&lt;0.1,"Bom",IF(VLOOKUP(BK259,Fundamentus!A:U,21,FALSE)&gt;0.1,"Muito bom","n/a"))))</f>
        <v>Muito bom</v>
      </c>
      <c r="FC259" s="37" t="str">
        <f>IF(VLOOKUP(BK259,Fundamentus!A:U,15,FALSE)&gt;1,"Bom",IF(VLOOKUP(BK259,Fundamentus!A:U,15,FALSE)&lt;1,"Ruim","n/a"))</f>
        <v>Bom</v>
      </c>
      <c r="FD259" s="20" t="str">
        <f>IF(VLOOKUP(BK259,Fundamentus!A:U,20,FALSE)&lt;0.5,"Baixa",IF(VLOOKUP(BK259,Fundamentus!A:U,20,FALSE)&lt;1,"Moderada",IF(VLOOKUP(BK259,Fundamentus!A:U,20,FALSE)&lt;2,"Alerta",IF(VLOOKUP(BK259,Fundamentus!A:U,20,FALSE)&gt;2,"Alta","n/a"))))</f>
        <v>Alerta</v>
      </c>
    </row>
    <row r="260" spans="1:160" s="2" customFormat="1" ht="11.25" hidden="1"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8">
        <v>2.17</v>
      </c>
      <c r="BC260" s="62">
        <v>1.97</v>
      </c>
      <c r="BD260" s="62">
        <v>1.92</v>
      </c>
      <c r="BE260" s="62">
        <v>1.86</v>
      </c>
      <c r="BF260" s="62">
        <v>1.97</v>
      </c>
      <c r="BG260" s="81">
        <v>2.14</v>
      </c>
      <c r="BH260" s="62">
        <v>2.09</v>
      </c>
      <c r="BI260" s="62">
        <v>2.04</v>
      </c>
      <c r="BJ260" s="62" cm="1">
        <f t="array" aca="1" ref="BJ260" ca="1">_FV(EH260,"Preço")</f>
        <v>2.04</v>
      </c>
      <c r="BK260" s="83" t="s">
        <v>256</v>
      </c>
      <c r="BL260" s="44" cm="1">
        <f t="array" aca="1" ref="BL260" ca="1">_FV(EH260,"Média de volume",TRUE)</f>
        <v>14890</v>
      </c>
      <c r="BM260" s="44">
        <v>7400</v>
      </c>
      <c r="BN260" s="44" cm="1">
        <f t="array" aca="1" ref="BN260" ca="1">_FV(EH260,"Volume")</f>
        <v>100</v>
      </c>
      <c r="BO260" s="32" cm="1">
        <f t="array" aca="1" ref="BO260" ca="1">_FV(EH260,"Beta")</f>
        <v>0.73089999999999999</v>
      </c>
      <c r="BP260" s="86" cm="1">
        <f t="array" aca="1" ref="BP260" ca="1">_FV(EH260,"Variação (%)",TRUE)</f>
        <v>0</v>
      </c>
      <c r="BQ260" s="48"/>
      <c r="BR260" s="48"/>
      <c r="BT260" s="20" cm="1">
        <f t="array" aca="1" ref="BT260" ca="1">_FV(EH260,"Baixo")</f>
        <v>2.04</v>
      </c>
      <c r="BU260" s="20" cm="1">
        <f t="array" aca="1" ref="BU260" ca="1">_FV(EH260,"Alto")</f>
        <v>2.04</v>
      </c>
      <c r="BV260" s="32"/>
      <c r="BW260" s="73" t="e">
        <f ca="1">SQRT(22.5*(BJ260/VLOOKUP(BK260,Fundamentus!A:U,3,FALSE))*(BJ260/VLOOKUP(BK260,Fundamentus!A:U,4,FALSE)))</f>
        <v>#NUM!</v>
      </c>
      <c r="BY260" s="72">
        <f t="shared" ca="1" si="198"/>
        <v>0</v>
      </c>
      <c r="BZ260" s="8"/>
      <c r="CA260" s="71">
        <f t="shared" si="205"/>
        <v>1.86</v>
      </c>
      <c r="CB260" s="71">
        <f t="shared" si="199"/>
        <v>5.86</v>
      </c>
      <c r="CC260" s="71">
        <f t="shared" si="206"/>
        <v>3.3554918032786878</v>
      </c>
      <c r="CD260" s="17"/>
      <c r="CE260" s="43">
        <f t="shared" si="203"/>
        <v>1.9743019491002289</v>
      </c>
      <c r="CF260" s="18">
        <f>FORECAST("04/07/2025", BF260:BI260, $BF$5:$BI$5)</f>
        <v>2.0999999999999943</v>
      </c>
      <c r="CG260" s="43">
        <f t="shared" si="204"/>
        <v>2.2256980508997599</v>
      </c>
      <c r="CI260" s="17"/>
      <c r="CJ260" s="20">
        <f>CA260-2*(CB260-CM260)</f>
        <v>-3.3533333333333326</v>
      </c>
      <c r="CK260" s="20">
        <f>CM260-(CB260-CA260)</f>
        <v>-0.74666666666666615</v>
      </c>
      <c r="CL260" s="20">
        <f>2*CM260-CB260</f>
        <v>0.64666666666666739</v>
      </c>
      <c r="CM260" s="48">
        <f>(CB260+CA260+BI260)/3</f>
        <v>3.2533333333333339</v>
      </c>
      <c r="CN260" s="20">
        <f>2*CM260-CA260</f>
        <v>4.6466666666666674</v>
      </c>
      <c r="CO260" s="20">
        <f>CM260+(CB260-CA260)</f>
        <v>7.2533333333333339</v>
      </c>
      <c r="CP260" s="20">
        <f>CB260+2*(CM260-CA260)</f>
        <v>8.6466666666666683</v>
      </c>
      <c r="CQ260" s="2" cm="1">
        <f t="array" aca="1" ref="CQ260" ca="1">MAX(_xlfn._xlws.FILTER(CJ260:CP260,CJ260:CP260&lt;BJ260))</f>
        <v>0.64666666666666739</v>
      </c>
      <c r="CR260" s="2" cm="1">
        <f t="array" aca="1" ref="CR260" ca="1">MIN(_xlfn._xlws.FILTER($CJ260:$CP260,$CJ260:$CP260&gt;BJ260))</f>
        <v>3.2533333333333339</v>
      </c>
      <c r="CS260" s="19">
        <f t="shared" ca="1" si="225"/>
        <v>4.0309278350515418</v>
      </c>
      <c r="CT260" s="23">
        <f t="shared" ca="1" si="226"/>
        <v>-2.0154639175257709</v>
      </c>
      <c r="CU260" s="23">
        <f t="shared" ca="1" si="227"/>
        <v>-1.3436426116838474</v>
      </c>
      <c r="CV260" s="23">
        <f t="shared" ca="1" si="228"/>
        <v>-0.80618556701030841</v>
      </c>
      <c r="CW260" s="23">
        <f t="shared" ca="1" si="229"/>
        <v>-0.44788087056128245</v>
      </c>
      <c r="CX260" s="23">
        <f t="shared" ca="1" si="230"/>
        <v>-0.23711340206185541</v>
      </c>
      <c r="CY260" s="23">
        <f t="shared" ca="1" si="231"/>
        <v>-0.12214932833489521</v>
      </c>
      <c r="CZ260" s="23">
        <f t="shared" ca="1" si="232"/>
        <v>-6.2014274385408338E-2</v>
      </c>
      <c r="DA260" s="24">
        <f t="shared" ca="1" si="233"/>
        <v>6.2014274385408338E-2</v>
      </c>
      <c r="DB260" s="24">
        <f t="shared" ca="1" si="234"/>
        <v>0.12214932833489521</v>
      </c>
      <c r="DC260" s="24">
        <f t="shared" ca="1" si="235"/>
        <v>0.23711340206185541</v>
      </c>
      <c r="DD260" s="24">
        <f t="shared" ca="1" si="236"/>
        <v>0.44788087056128245</v>
      </c>
      <c r="DE260" s="24">
        <f t="shared" ca="1" si="237"/>
        <v>0.80618556701030841</v>
      </c>
      <c r="DF260" s="24">
        <f t="shared" ca="1" si="238"/>
        <v>1.3436426116838474</v>
      </c>
      <c r="DG260" s="24">
        <f t="shared" ca="1" si="239"/>
        <v>2.0154639175257709</v>
      </c>
      <c r="DI260" s="19" cm="1">
        <f t="array" aca="1" ref="DI260" ca="1">MAX(_xlfn._xlws.FILTER(CT260:DG260,CT260:DG260&lt;BP260))</f>
        <v>-6.2014274385408338E-2</v>
      </c>
      <c r="DJ260" s="19" cm="1">
        <f t="array" aca="1" ref="DJ260" ca="1">MIN(_xlfn._xlws.FILTER(CT260:DG260,CT260:DG260&gt;BP260))</f>
        <v>6.2014274385408338E-2</v>
      </c>
      <c r="DK260" s="2" cm="1">
        <f t="array" aca="1" ref="DK260" ca="1">_FV(EH260,"Fechamento anterior",TRUE)</f>
        <v>2.04</v>
      </c>
      <c r="DL260" s="36">
        <f ca="1">(BJ260-DM260)/(DN260-DM260)</f>
        <v>0.5</v>
      </c>
      <c r="DM260" s="18">
        <f t="shared" ca="1" si="240"/>
        <v>1.9134908802537671</v>
      </c>
      <c r="DN260" s="18">
        <f t="shared" ca="1" si="241"/>
        <v>2.1665091197462329</v>
      </c>
      <c r="DO260" s="9"/>
      <c r="DP260" s="9"/>
      <c r="DQ260" s="94">
        <v>0.16988082340195007</v>
      </c>
      <c r="DR260" s="94">
        <v>0.16988082340195007</v>
      </c>
      <c r="DS260" s="94">
        <v>0.11099928109273895</v>
      </c>
      <c r="DT260" s="94">
        <f t="shared" ca="1" si="200"/>
        <v>0.12402854877081668</v>
      </c>
      <c r="DU260" s="87">
        <f ca="1">(BJ260-CF260)/(CF260-CE260)</f>
        <v>-0.4773343705053924</v>
      </c>
      <c r="DV260" s="46"/>
      <c r="DW260" s="43">
        <f>_xlfn.STDEV.P(BF260:BI260)</f>
        <v>6.2849025449882703E-2</v>
      </c>
      <c r="DX260" s="76">
        <f ca="1">BO260-$DT$2</f>
        <v>-0.2662000000000001</v>
      </c>
      <c r="DY260" s="76">
        <f ca="1">BO260-BP260*100</f>
        <v>0.73089999999999999</v>
      </c>
      <c r="DZ260" s="101"/>
      <c r="EA260" s="100">
        <v>1.7549999999999999</v>
      </c>
      <c r="EB260" s="107">
        <v>1.2419</v>
      </c>
      <c r="EC260" s="107">
        <v>-1.2684000000000002</v>
      </c>
      <c r="ED260" s="98">
        <f t="shared" ca="1" si="224"/>
        <v>-0.9971000000000001</v>
      </c>
      <c r="EE260" s="66"/>
      <c r="EF260" s="66"/>
      <c r="EH260" s="2" t="e" vm="262">
        <v>#VALUE!</v>
      </c>
      <c r="EJ260" s="10" cm="1">
        <f t="array" aca="1" ref="EJ260" ca="1">_FV(EH260,"Ações em circulação",TRUE)</f>
        <v>20000000</v>
      </c>
      <c r="EK260" s="21">
        <f>VLOOKUP(BK260,Fundamentus!A:U,5,FALSE)</f>
        <v>0.50800000000000001</v>
      </c>
      <c r="EL260" s="2">
        <f ca="1">(BJ260*EJ260)/EK260</f>
        <v>80314960.629921257</v>
      </c>
      <c r="EM260" s="20">
        <v>263810551.18110237</v>
      </c>
      <c r="EN260" s="20">
        <f t="shared" ca="1" si="201"/>
        <v>263810551.18110237</v>
      </c>
      <c r="EP260" s="19">
        <f t="shared" ca="1" si="242"/>
        <v>0</v>
      </c>
      <c r="EQ260" s="40" t="str">
        <f>IF(VLOOKUP(BK260,Fundamentus!A:U,3,FALSE)&lt;15,"Bom",IF(VLOOKUP(BK260,Fundamentus!A:U,3,FALSE)&gt;15,"Ruim","n/a"))</f>
        <v>Bom</v>
      </c>
      <c r="ER260" s="36" t="str">
        <f>IF(VLOOKUP(BK260,Fundamentus!A:U,4,FALSE)&lt;1,"Baixo",IF(VLOOKUP(BK260,Fundamentus!A:U,4,FALSE)&lt;1.5,"Moderado",IF(VLOOKUP(BK260,Fundamentus!A:U,4,FALSE)&gt;1.5,"Alto","n/a")))</f>
        <v>Baixo</v>
      </c>
      <c r="ES260" s="20" t="str">
        <f>IF(VLOOKUP(BK260,Fundamentus!A:U,8,FALSE)&lt;0,"Risco elevado",IF(VLOOKUP(BK260,Fundamentus!A:U,8,FALSE)&lt;1,"Saudável",IF(VLOOKUP(BK260,Fundamentus!A:U,8,FALSE)&lt;3,"Estável",IF(VLOOKUP(BK260,Fundamentus!A:U,8,FALSE)&gt;3,"Alerta","n/a"))))</f>
        <v>Risco elevado</v>
      </c>
      <c r="ET260" s="36" t="str">
        <f t="shared" si="202"/>
        <v>Ruim</v>
      </c>
      <c r="EU260" s="20" t="str">
        <f>IF(VLOOKUP(BK260,Fundamentus!A:U,12,FALSE)&lt;2,"Subvalorizada",IF(VLOOKUP(BK260,Fundamentus!A:U,12,FALSE)&lt;6,"Muita barata",IF(VLOOKUP(BK260,Fundamentus!A:U,12,FALSE)&lt;6,"Barata",IF(VLOOKUP(BK260,Fundamentus!A:U,12,FALSE)&lt;8,"Atrativa",IF(VLOOKUP(BK260,Fundamentus!A:U,12,FALSE)&gt;8,"Supervalorizada","n/a")))))</f>
        <v>Subvalorizada</v>
      </c>
      <c r="EW260" s="20" t="str">
        <f>IF(VLOOKUP(BK260,Fundamentus!A:U,17,FALSE)&lt;0.1,"Fraco retorno",IF(VLOOKUP(BK260,Fundamentus!A:U,17,FALSE)&gt;0.1,"Bom retorno","n/a"))</f>
        <v>Fraco retorno</v>
      </c>
      <c r="EX260" s="20" t="str">
        <f>IF(VLOOKUP(BK260,Fundamentus!A:U,16,FALSE)&lt;0.1,"Ineficiente",IF(VLOOKUP(BK260,Fundamentus!A:U,16,FALSE)&gt;0.1,"Eficiente","n/a"))</f>
        <v>Ineficiente</v>
      </c>
      <c r="EY260" s="41" t="str">
        <f>IF(VLOOKUP(BK260,Fundamentus!A:U,16,FALSE)&lt;0.1,"Oper. Ineficiente",IF(VLOOKUP(BK260,Fundamentus!A:U,16,FALSE)&gt;0.1,"Oper.Eficiente","n/a"))</f>
        <v>Oper. Ineficiente</v>
      </c>
      <c r="EZ260" s="42">
        <f>VLOOKUP(BK260,Fundamentus!A:U,14,FALSE)</f>
        <v>3.2847</v>
      </c>
      <c r="FA260" s="20" t="str">
        <f>IF(VLOOKUP(BK260,Fundamentus!A:U,21,FALSE)&lt;0,"Negativo",IF(VLOOKUP(BK260,Fundamentus!A:U,21,FALSE)&lt;0.05,"Fraco",IF(VLOOKUP(BK260,Fundamentus!A:U,21,FALSE)&lt;0.1,"Bom",IF(VLOOKUP(BK260,Fundamentus!A:U,21,FALSE)&gt;0.1,"Muito bom","n/a"))))</f>
        <v>Fraco</v>
      </c>
      <c r="FC260" s="37" t="str">
        <f>IF(VLOOKUP(BK260,Fundamentus!A:U,15,FALSE)&gt;1,"Bom",IF(VLOOKUP(BK260,Fundamentus!A:U,15,FALSE)&lt;1,"Ruim","n/a"))</f>
        <v>Ruim</v>
      </c>
      <c r="FD260" s="20" t="str">
        <f>IF(VLOOKUP(BK260,Fundamentus!A:U,20,FALSE)&lt;0.5,"Baixa",IF(VLOOKUP(BK260,Fundamentus!A:U,20,FALSE)&lt;1,"Moderada",IF(VLOOKUP(BK260,Fundamentus!A:U,20,FALSE)&lt;2,"Alerta",IF(VLOOKUP(BK260,Fundamentus!A:U,20,FALSE)&gt;2,"Alta","n/a"))))</f>
        <v>Baixa</v>
      </c>
    </row>
    <row r="261" spans="1:160" s="2" customFormat="1" ht="11.25" hidden="1"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8">
        <v>1.29</v>
      </c>
      <c r="BC261" s="62">
        <v>1.26</v>
      </c>
      <c r="BD261" s="62">
        <v>1.25</v>
      </c>
      <c r="BE261" s="62">
        <v>1.2</v>
      </c>
      <c r="BF261" s="62">
        <v>1.19</v>
      </c>
      <c r="BG261" s="81">
        <v>1.18</v>
      </c>
      <c r="BH261" s="62">
        <v>1.17</v>
      </c>
      <c r="BI261" s="62">
        <v>1.22</v>
      </c>
      <c r="BJ261" s="62" cm="1">
        <f t="array" aca="1" ref="BJ261" ca="1">_FV(EH261,"Preço")</f>
        <v>1.74</v>
      </c>
      <c r="BK261" s="83" t="s">
        <v>257</v>
      </c>
      <c r="BL261" s="44" cm="1">
        <f t="array" aca="1" ref="BL261" ca="1">_FV(EH261,"Média de volume",TRUE)</f>
        <v>82150</v>
      </c>
      <c r="BM261" s="44">
        <v>91100</v>
      </c>
      <c r="BN261" s="44" cm="1">
        <f t="array" aca="1" ref="BN261" ca="1">_FV(EH261,"Volume")</f>
        <v>1559700</v>
      </c>
      <c r="BO261" s="32" cm="1">
        <f t="array" aca="1" ref="BO261" ca="1">_FV(EH261,"Beta")</f>
        <v>1.5407</v>
      </c>
      <c r="BP261" s="86" cm="1">
        <f t="array" aca="1" ref="BP261" ca="1">_FV(EH261,"Variação (%)",TRUE)</f>
        <v>0.42623</v>
      </c>
      <c r="BQ261" s="48"/>
      <c r="BR261" s="48"/>
      <c r="BT261" s="20" cm="1">
        <f t="array" aca="1" ref="BT261" ca="1">_FV(EH261,"Baixo")</f>
        <v>1.4</v>
      </c>
      <c r="BU261" s="20" cm="1">
        <f t="array" aca="1" ref="BU261" ca="1">_FV(EH261,"Alto")</f>
        <v>1.76</v>
      </c>
      <c r="BV261" s="32"/>
      <c r="BW261" s="73" t="e">
        <f ca="1">SQRT(22.5*(BJ261/VLOOKUP(BK261,Fundamentus!A:U,3,FALSE))*(BJ261/VLOOKUP(BK261,Fundamentus!A:U,4,FALSE)))</f>
        <v>#NUM!</v>
      </c>
      <c r="BY261" s="72">
        <f t="shared" ca="1" si="198"/>
        <v>0.42622950819672134</v>
      </c>
      <c r="BZ261" s="8"/>
      <c r="CA261" s="71">
        <f t="shared" si="205"/>
        <v>1.17</v>
      </c>
      <c r="CB261" s="71">
        <f t="shared" si="199"/>
        <v>2.64</v>
      </c>
      <c r="CC261" s="71">
        <f t="shared" si="206"/>
        <v>1.6477049180327874</v>
      </c>
      <c r="CD261" s="17"/>
      <c r="CE261" s="43">
        <f t="shared" si="203"/>
        <v>1.1725834261322543</v>
      </c>
      <c r="CF261" s="18">
        <f>FORECAST("04/07/2025", BF261:BI261, $BF$5:$BI$5)</f>
        <v>1.2099999999999937</v>
      </c>
      <c r="CG261" s="43">
        <f t="shared" si="204"/>
        <v>1.2474165738677332</v>
      </c>
      <c r="CI261" s="17"/>
      <c r="CJ261" s="20">
        <f>CA261-2*(CB261-CM261)</f>
        <v>-0.75666666666666682</v>
      </c>
      <c r="CK261" s="20">
        <f>CM261-(CB261-CA261)</f>
        <v>0.20666666666666655</v>
      </c>
      <c r="CL261" s="20">
        <f>2*CM261-CB261</f>
        <v>0.71333333333333337</v>
      </c>
      <c r="CM261" s="48">
        <f>(CB261+CA261+BI261)/3</f>
        <v>1.6766666666666667</v>
      </c>
      <c r="CN261" s="20">
        <f>2*CM261-CA261</f>
        <v>2.1833333333333336</v>
      </c>
      <c r="CO261" s="20">
        <f>CM261+(CB261-CA261)</f>
        <v>3.1466666666666669</v>
      </c>
      <c r="CP261" s="20">
        <f>CB261+2*(CM261-CA261)</f>
        <v>3.6533333333333338</v>
      </c>
      <c r="CQ261" s="2" cm="1">
        <f t="array" aca="1" ref="CQ261" ca="1">MAX(_xlfn._xlws.FILTER(CJ261:CP261,CJ261:CP261&lt;BJ261))</f>
        <v>1.6766666666666667</v>
      </c>
      <c r="CR261" s="2" cm="1">
        <f t="array" aca="1" ref="CR261" ca="1">MIN(_xlfn._xlws.FILTER($CJ261:$CP261,$CJ261:$CP261&gt;BJ261))</f>
        <v>2.1833333333333336</v>
      </c>
      <c r="CS261" s="19">
        <f t="shared" ca="1" si="225"/>
        <v>0.30218687872763428</v>
      </c>
      <c r="CT261" s="23">
        <f t="shared" ca="1" si="226"/>
        <v>-0.15109343936381714</v>
      </c>
      <c r="CU261" s="23">
        <f t="shared" ca="1" si="227"/>
        <v>-0.10072895957587809</v>
      </c>
      <c r="CV261" s="23">
        <f t="shared" ca="1" si="228"/>
        <v>-6.0437375745526857E-2</v>
      </c>
      <c r="CW261" s="23">
        <f t="shared" ca="1" si="229"/>
        <v>-3.3576319858626032E-2</v>
      </c>
      <c r="CX261" s="23">
        <f t="shared" ca="1" si="230"/>
        <v>-1.7775698748684371E-2</v>
      </c>
      <c r="CY261" s="23">
        <f t="shared" ca="1" si="231"/>
        <v>-9.1571781432616441E-3</v>
      </c>
      <c r="CZ261" s="23">
        <f t="shared" ca="1" si="232"/>
        <v>-4.6490289035020661E-3</v>
      </c>
      <c r="DA261" s="24">
        <f t="shared" ca="1" si="233"/>
        <v>4.6490289035020661E-3</v>
      </c>
      <c r="DB261" s="24">
        <f t="shared" ca="1" si="234"/>
        <v>9.1571781432616441E-3</v>
      </c>
      <c r="DC261" s="24">
        <f t="shared" ca="1" si="235"/>
        <v>1.7775698748684371E-2</v>
      </c>
      <c r="DD261" s="24">
        <f t="shared" ca="1" si="236"/>
        <v>3.3576319858626032E-2</v>
      </c>
      <c r="DE261" s="24">
        <f t="shared" ca="1" si="237"/>
        <v>6.0437375745526857E-2</v>
      </c>
      <c r="DF261" s="24">
        <f t="shared" ca="1" si="238"/>
        <v>0.10072895957587809</v>
      </c>
      <c r="DG261" s="24">
        <f t="shared" ca="1" si="239"/>
        <v>0.15109343936381714</v>
      </c>
      <c r="DI261" s="19" cm="1">
        <f t="array" aca="1" ref="DI261" ca="1">MAX(_xlfn._xlws.FILTER(CT261:DG261,CT261:DG261&lt;BP261))</f>
        <v>0.15109343936381714</v>
      </c>
      <c r="DJ261" s="19" t="e" cm="1" vm="4">
        <f t="array" aca="1" ref="DJ261" ca="1">MIN(_xlfn._xlws.FILTER(CT261:DG261,CT261:DG261&gt;BP261))</f>
        <v>#VALUE!</v>
      </c>
      <c r="DK261" s="2" cm="1">
        <f t="array" aca="1" ref="DK261" ca="1">_FV(EH261,"Fechamento anterior",TRUE)</f>
        <v>1.22</v>
      </c>
      <c r="DL261" s="36" t="e" vm="5">
        <f ca="1">(BJ261-DM261)/(DN261-DM261)</f>
        <v>#VALUE!</v>
      </c>
      <c r="DM261" s="18">
        <f t="shared" ref="DM261:DM271" ca="1" si="243">DK261+(DK261*DI261)</f>
        <v>1.404333996023857</v>
      </c>
      <c r="DN261" s="18" t="e" vm="5">
        <f t="shared" ref="DN261:DN271" ca="1" si="244">DK261+(DK261*DJ261)</f>
        <v>#VALUE!</v>
      </c>
      <c r="DO261" s="9"/>
      <c r="DP261" s="9"/>
      <c r="DQ261" s="94">
        <v>4.2072213500784938E-2</v>
      </c>
      <c r="DR261" s="94">
        <v>4.3269230769230782E-2</v>
      </c>
      <c r="DS261" s="94">
        <v>4.3195266272189344E-2</v>
      </c>
      <c r="DT261" s="94" t="e" vm="5">
        <f t="shared" ca="1" si="200"/>
        <v>#VALUE!</v>
      </c>
      <c r="DU261" s="87">
        <f ca="1">(BJ261-CF261)/(CF261-CE261)</f>
        <v>14.164845821358648</v>
      </c>
      <c r="DV261" s="46"/>
      <c r="DW261" s="43">
        <f>_xlfn.STDEV.P(BF261:BI261)</f>
        <v>1.8708286933869722E-2</v>
      </c>
      <c r="DX261" s="76">
        <f ca="1">BO261-$DT$2</f>
        <v>0.54359999999999986</v>
      </c>
      <c r="DY261" s="76">
        <f ca="1">BO261-BP261*100</f>
        <v>-41.082299999999996</v>
      </c>
      <c r="DZ261" s="101"/>
      <c r="EA261" s="100">
        <v>-1.4107000000000005</v>
      </c>
      <c r="EB261" s="107">
        <v>2.9809999999999999</v>
      </c>
      <c r="EC261" s="107">
        <v>2.7019000000000002</v>
      </c>
      <c r="ED261" s="98">
        <f t="shared" ca="1" si="224"/>
        <v>41.625899999999994</v>
      </c>
      <c r="EE261" s="66"/>
      <c r="EF261" s="66"/>
      <c r="EH261" s="2" t="e" vm="263">
        <v>#VALUE!</v>
      </c>
      <c r="EJ261" s="10" cm="1">
        <f t="array" aca="1" ref="EJ261" ca="1">_FV(EH261,"Ações em circulação",TRUE)</f>
        <v>90511120</v>
      </c>
      <c r="EK261" s="21">
        <f>VLOOKUP(BK261,Fundamentus!A:U,5,FALSE)</f>
        <v>0.20200000000000001</v>
      </c>
      <c r="EL261" s="2">
        <f ca="1">(BJ261*EJ261)/EK261</f>
        <v>779650241.58415842</v>
      </c>
      <c r="EM261" s="20">
        <v>-176131054.92118809</v>
      </c>
      <c r="EN261" s="20">
        <f t="shared" ca="1" si="201"/>
        <v>-251203307.83841583</v>
      </c>
      <c r="EP261" s="19">
        <f t="shared" ca="1" si="242"/>
        <v>0.42622950819672156</v>
      </c>
      <c r="EQ261" s="40" t="str">
        <f>IF(VLOOKUP(BK261,Fundamentus!A:U,3,FALSE)&lt;15,"Bom",IF(VLOOKUP(BK261,Fundamentus!A:U,3,FALSE)&gt;15,"Ruim","n/a"))</f>
        <v>Bom</v>
      </c>
      <c r="ER261" s="36" t="str">
        <f>IF(VLOOKUP(BK261,Fundamentus!A:U,4,FALSE)&lt;1,"Baixo",IF(VLOOKUP(BK261,Fundamentus!A:U,4,FALSE)&lt;1.5,"Moderado",IF(VLOOKUP(BK261,Fundamentus!A:U,4,FALSE)&gt;1.5,"Alto","n/a")))</f>
        <v>Baixo</v>
      </c>
      <c r="ES261" s="20" t="str">
        <f>IF(VLOOKUP(BK261,Fundamentus!A:U,8,FALSE)&lt;0,"Risco elevado",IF(VLOOKUP(BK261,Fundamentus!A:U,8,FALSE)&lt;1,"Saudável",IF(VLOOKUP(BK261,Fundamentus!A:U,8,FALSE)&lt;3,"Estável",IF(VLOOKUP(BK261,Fundamentus!A:U,8,FALSE)&gt;3,"Alerta","n/a"))))</f>
        <v>Estável</v>
      </c>
      <c r="ET261" s="36" t="str">
        <f t="shared" si="202"/>
        <v>Ruim</v>
      </c>
      <c r="EU261" s="20" t="str">
        <f>IF(VLOOKUP(BK261,Fundamentus!A:U,12,FALSE)&lt;2,"Subvalorizada",IF(VLOOKUP(BK261,Fundamentus!A:U,12,FALSE)&lt;6,"Muita barata",IF(VLOOKUP(BK261,Fundamentus!A:U,12,FALSE)&lt;6,"Barata",IF(VLOOKUP(BK261,Fundamentus!A:U,12,FALSE)&lt;8,"Atrativa",IF(VLOOKUP(BK261,Fundamentus!A:U,12,FALSE)&gt;8,"Supervalorizada","n/a")))))</f>
        <v>Subvalorizada</v>
      </c>
      <c r="EW261" s="20" t="str">
        <f>IF(VLOOKUP(BK261,Fundamentus!A:U,17,FALSE)&lt;0.1,"Fraco retorno",IF(VLOOKUP(BK261,Fundamentus!A:U,17,FALSE)&gt;0.1,"Bom retorno","n/a"))</f>
        <v>Fraco retorno</v>
      </c>
      <c r="EX261" s="20" t="str">
        <f>IF(VLOOKUP(BK261,Fundamentus!A:U,16,FALSE)&lt;0.1,"Ineficiente",IF(VLOOKUP(BK261,Fundamentus!A:U,16,FALSE)&gt;0.1,"Eficiente","n/a"))</f>
        <v>Ineficiente</v>
      </c>
      <c r="EY261" s="41" t="str">
        <f>IF(VLOOKUP(BK261,Fundamentus!A:U,16,FALSE)&lt;0.1,"Oper. Ineficiente",IF(VLOOKUP(BK261,Fundamentus!A:U,16,FALSE)&gt;0.1,"Oper.Eficiente","n/a"))</f>
        <v>Oper. Ineficiente</v>
      </c>
      <c r="EZ261" s="42">
        <f>VLOOKUP(BK261,Fundamentus!A:U,14,FALSE)</f>
        <v>-0.32219999999999999</v>
      </c>
      <c r="FA261" s="20" t="str">
        <f>IF(VLOOKUP(BK261,Fundamentus!A:U,21,FALSE)&lt;0,"Negativo",IF(VLOOKUP(BK261,Fundamentus!A:U,21,FALSE)&lt;0.05,"Fraco",IF(VLOOKUP(BK261,Fundamentus!A:U,21,FALSE)&lt;0.1,"Bom",IF(VLOOKUP(BK261,Fundamentus!A:U,21,FALSE)&gt;0.1,"Muito bom","n/a"))))</f>
        <v>Muito bom</v>
      </c>
      <c r="FC261" s="37" t="str">
        <f>IF(VLOOKUP(BK261,Fundamentus!A:U,15,FALSE)&gt;1,"Bom",IF(VLOOKUP(BK261,Fundamentus!A:U,15,FALSE)&lt;1,"Ruim","n/a"))</f>
        <v>Bom</v>
      </c>
      <c r="FD261" s="20" t="str">
        <f>IF(VLOOKUP(BK261,Fundamentus!A:U,20,FALSE)&lt;0.5,"Baixa",IF(VLOOKUP(BK261,Fundamentus!A:U,20,FALSE)&lt;1,"Moderada",IF(VLOOKUP(BK261,Fundamentus!A:U,20,FALSE)&lt;2,"Alerta",IF(VLOOKUP(BK261,Fundamentus!A:U,20,FALSE)&gt;2,"Alta","n/a"))))</f>
        <v>Alerta</v>
      </c>
    </row>
    <row r="262" spans="1:160" s="2" customFormat="1" ht="11.25" hidden="1"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8">
        <v>1.43</v>
      </c>
      <c r="BC262" s="62">
        <v>1.1399999999999999</v>
      </c>
      <c r="BD262" s="62">
        <v>1.04</v>
      </c>
      <c r="BE262" s="62">
        <v>0.9</v>
      </c>
      <c r="BF262" s="62">
        <v>0.96</v>
      </c>
      <c r="BG262" s="81">
        <v>0.99</v>
      </c>
      <c r="BH262" s="62">
        <v>0.98</v>
      </c>
      <c r="BI262" s="62">
        <v>0.94</v>
      </c>
      <c r="BJ262" s="62" cm="1">
        <f t="array" aca="1" ref="BJ262" ca="1">_FV(EH262,"Preço")</f>
        <v>0.96</v>
      </c>
      <c r="BK262" s="83" t="s">
        <v>258</v>
      </c>
      <c r="BL262" s="44" cm="1">
        <f t="array" aca="1" ref="BL262" ca="1">_FV(EH262,"Média de volume",TRUE)</f>
        <v>22885160</v>
      </c>
      <c r="BM262" s="44">
        <v>9844200</v>
      </c>
      <c r="BN262" s="44" cm="1">
        <f t="array" aca="1" ref="BN262" ca="1">_FV(EH262,"Volume")</f>
        <v>4455200</v>
      </c>
      <c r="BO262" s="32" cm="1">
        <f t="array" aca="1" ref="BO262" ca="1">_FV(EH262,"Beta")</f>
        <v>1.9515</v>
      </c>
      <c r="BP262" s="86" cm="1">
        <f t="array" aca="1" ref="BP262" ca="1">_FV(EH262,"Variação (%)",TRUE)</f>
        <v>2.1277000000000001E-2</v>
      </c>
      <c r="BQ262" s="48"/>
      <c r="BR262" s="48"/>
      <c r="BT262" s="20" cm="1">
        <f t="array" aca="1" ref="BT262" ca="1">_FV(EH262,"Baixo")</f>
        <v>0.94</v>
      </c>
      <c r="BU262" s="20" cm="1">
        <f t="array" aca="1" ref="BU262" ca="1">_FV(EH262,"Alto")</f>
        <v>0.96</v>
      </c>
      <c r="BV262" s="32"/>
      <c r="BW262" s="73" t="e">
        <f ca="1">SQRT(22.5*(BJ262/VLOOKUP(BK262,Fundamentus!A:U,3,FALSE))*(BJ262/VLOOKUP(BK262,Fundamentus!A:U,4,FALSE)))</f>
        <v>#NUM!</v>
      </c>
      <c r="BY262" s="72">
        <f t="shared" ref="BY262:BY271" ca="1" si="245">(BJ262 - BI262) / BI262</f>
        <v>2.1276595744680871E-2</v>
      </c>
      <c r="BZ262" s="8"/>
      <c r="CA262" s="71">
        <f t="shared" si="205"/>
        <v>0.9</v>
      </c>
      <c r="CB262" s="71">
        <f t="shared" ref="CB262:CB271" si="246">MAX(A262:BI262)</f>
        <v>11.08</v>
      </c>
      <c r="CC262" s="71">
        <f t="shared" si="206"/>
        <v>5.1170491803278679</v>
      </c>
      <c r="CD262" s="17"/>
      <c r="CE262" s="43">
        <f t="shared" si="203"/>
        <v>0.91159427126065973</v>
      </c>
      <c r="CF262" s="18">
        <f>FORECAST("04/07/2025", BF262:BI262, $BF$5:$BI$5)</f>
        <v>0.95000000000000284</v>
      </c>
      <c r="CG262" s="43">
        <f t="shared" si="204"/>
        <v>0.98840572873934596</v>
      </c>
      <c r="CI262" s="17"/>
      <c r="CJ262" s="20">
        <f>CA262-2*(CB262-CM262)</f>
        <v>-12.646666666666667</v>
      </c>
      <c r="CK262" s="20">
        <f>CM262-(CB262-CA262)</f>
        <v>-5.8733333333333331</v>
      </c>
      <c r="CL262" s="20">
        <f>2*CM262-CB262</f>
        <v>-2.4666666666666668</v>
      </c>
      <c r="CM262" s="48">
        <f>(CB262+CA262+BI262)/3</f>
        <v>4.3066666666666666</v>
      </c>
      <c r="CN262" s="20">
        <f>2*CM262-CA262</f>
        <v>7.7133333333333329</v>
      </c>
      <c r="CO262" s="20">
        <f>CM262+(CB262-CA262)</f>
        <v>14.486666666666666</v>
      </c>
      <c r="CP262" s="20">
        <f>CB262+2*(CM262-CA262)</f>
        <v>17.893333333333334</v>
      </c>
      <c r="CQ262" s="2" cm="1">
        <f t="array" aca="1" ref="CQ262" ca="1">MAX(_xlfn._xlws.FILTER(CJ262:CP262,CJ262:CP262&lt;BJ262))</f>
        <v>-2.4666666666666668</v>
      </c>
      <c r="CR262" s="2" cm="1">
        <f t="array" aca="1" ref="CR262" ca="1">MIN(_xlfn._xlws.FILTER($CJ262:$CP262,$CJ262:$CP262&gt;BJ262))</f>
        <v>4.3066666666666666</v>
      </c>
      <c r="CS262" s="19">
        <f t="shared" ref="CS262:CS271" ca="1" si="247">(CR262/CQ262)-1</f>
        <v>-2.7459459459459459</v>
      </c>
      <c r="CT262" s="23">
        <f t="shared" ref="CT262:CT271" ca="1" si="248">-$CS262/2</f>
        <v>1.3729729729729729</v>
      </c>
      <c r="CU262" s="23">
        <f t="shared" ref="CU262:CU271" ca="1" si="249">-$CS262/3</f>
        <v>0.91531531531531529</v>
      </c>
      <c r="CV262" s="23">
        <f t="shared" ref="CV262:CV271" ca="1" si="250">-$CS262/5</f>
        <v>0.54918918918918913</v>
      </c>
      <c r="CW262" s="23">
        <f t="shared" ref="CW262:CW271" ca="1" si="251">-$CS262/9</f>
        <v>0.30510510510510508</v>
      </c>
      <c r="CX262" s="23">
        <f t="shared" ca="1" si="230"/>
        <v>0.1615262321144674</v>
      </c>
      <c r="CY262" s="23">
        <f t="shared" ca="1" si="231"/>
        <v>8.3210483210483202E-2</v>
      </c>
      <c r="CZ262" s="23">
        <f t="shared" ca="1" si="232"/>
        <v>4.2245322245322244E-2</v>
      </c>
      <c r="DA262" s="24">
        <f t="shared" ca="1" si="233"/>
        <v>-4.2245322245322244E-2</v>
      </c>
      <c r="DB262" s="24">
        <f t="shared" ca="1" si="234"/>
        <v>-8.3210483210483202E-2</v>
      </c>
      <c r="DC262" s="24">
        <f t="shared" ca="1" si="235"/>
        <v>-0.1615262321144674</v>
      </c>
      <c r="DD262" s="24">
        <f t="shared" ref="DD262:DD271" ca="1" si="252">-$CS262/9*-1</f>
        <v>-0.30510510510510508</v>
      </c>
      <c r="DE262" s="24">
        <f t="shared" ref="DE262:DE271" ca="1" si="253">-$CS262/5*-1</f>
        <v>-0.54918918918918913</v>
      </c>
      <c r="DF262" s="24">
        <f t="shared" ref="DF262:DF271" ca="1" si="254">-$CS262/3*-1</f>
        <v>-0.91531531531531529</v>
      </c>
      <c r="DG262" s="24">
        <f t="shared" ref="DG262:DG271" ca="1" si="255">-$CS262/2*-1</f>
        <v>-1.3729729729729729</v>
      </c>
      <c r="DI262" s="19" cm="1">
        <f t="array" aca="1" ref="DI262" ca="1">MAX(_xlfn._xlws.FILTER(CT262:DG262,CT262:DG262&lt;BP262))</f>
        <v>-4.2245322245322244E-2</v>
      </c>
      <c r="DJ262" s="19" cm="1">
        <f t="array" aca="1" ref="DJ262" ca="1">MIN(_xlfn._xlws.FILTER(CT262:DG262,CT262:DG262&gt;BP262))</f>
        <v>4.2245322245322244E-2</v>
      </c>
      <c r="DK262" s="2" cm="1">
        <f t="array" aca="1" ref="DK262" ca="1">_FV(EH262,"Fechamento anterior",TRUE)</f>
        <v>0.94</v>
      </c>
      <c r="DL262" s="36">
        <f ca="1">(BJ262-DM262)/(DN262-DM262)</f>
        <v>0.75182191321829472</v>
      </c>
      <c r="DM262" s="18">
        <f t="shared" ca="1" si="243"/>
        <v>0.90028939708939704</v>
      </c>
      <c r="DN262" s="18">
        <f t="shared" ca="1" si="244"/>
        <v>0.97971060291060286</v>
      </c>
      <c r="DO262" s="9"/>
      <c r="DP262" s="9"/>
      <c r="DQ262" s="94">
        <v>3.9658283022277772E-2</v>
      </c>
      <c r="DR262" s="94">
        <v>8.1795208733447908E-2</v>
      </c>
      <c r="DS262" s="94">
        <v>4.1424146629626082E-2</v>
      </c>
      <c r="DT262" s="94">
        <f t="shared" ref="DT262:DT271" ca="1" si="256">DJ262-DI262</f>
        <v>8.4490644490644487E-2</v>
      </c>
      <c r="DU262" s="87">
        <f ca="1">(BJ262-CF262)/(CF262-CE262)</f>
        <v>0.26037782196157233</v>
      </c>
      <c r="DV262" s="46"/>
      <c r="DW262" s="43">
        <f>_xlfn.STDEV.P(BF262:BI262)</f>
        <v>1.9202864369671536E-2</v>
      </c>
      <c r="DX262" s="76">
        <f ca="1">BO262-$DT$2</f>
        <v>0.95439999999999992</v>
      </c>
      <c r="DY262" s="76">
        <f ca="1">BO262-BP262*100</f>
        <v>-0.17619999999999991</v>
      </c>
      <c r="DZ262" s="101"/>
      <c r="EA262" s="100">
        <v>-1.6814999999999998</v>
      </c>
      <c r="EB262" s="107">
        <v>0.23180000000000023</v>
      </c>
      <c r="EC262" s="107">
        <v>-1.9023999999999996</v>
      </c>
      <c r="ED262" s="98">
        <f t="shared" ca="1" si="224"/>
        <v>1.1305999999999998</v>
      </c>
      <c r="EE262" s="66"/>
      <c r="EF262" s="66"/>
      <c r="EH262" s="2" t="e" vm="264">
        <v>#VALUE!</v>
      </c>
      <c r="EJ262" s="10" cm="1">
        <f t="array" aca="1" ref="EJ262" ca="1">_FV(EH262,"Ações em circulação",TRUE)</f>
        <v>896039700</v>
      </c>
      <c r="EK262" s="21">
        <f>VLOOKUP(BK262,Fundamentus!A:U,5,FALSE)</f>
        <v>4.4999999999999998E-2</v>
      </c>
      <c r="EL262" s="2">
        <f ca="1">(BJ262*EJ262)/EK262</f>
        <v>19115513600</v>
      </c>
      <c r="EM262" s="20">
        <v>10998270045.706669</v>
      </c>
      <c r="EN262" s="20">
        <f t="shared" ref="EN262:EN271" ca="1" si="257">EL262*EZ262</f>
        <v>11232275791.360001</v>
      </c>
      <c r="EP262" s="19">
        <f t="shared" ca="1" si="242"/>
        <v>2.1276595744680771E-2</v>
      </c>
      <c r="EQ262" s="40" t="str">
        <f>IF(VLOOKUP(BK262,Fundamentus!A:U,3,FALSE)&lt;15,"Bom",IF(VLOOKUP(BK262,Fundamentus!A:U,3,FALSE)&gt;15,"Ruim","n/a"))</f>
        <v>Bom</v>
      </c>
      <c r="ER262" s="36" t="str">
        <f>IF(VLOOKUP(BK262,Fundamentus!A:U,4,FALSE)&lt;1,"Baixo",IF(VLOOKUP(BK262,Fundamentus!A:U,4,FALSE)&lt;1.5,"Moderado",IF(VLOOKUP(BK262,Fundamentus!A:U,4,FALSE)&gt;1.5,"Alto","n/a")))</f>
        <v>Baixo</v>
      </c>
      <c r="ES262" s="20" t="str">
        <f>IF(VLOOKUP(BK262,Fundamentus!A:U,8,FALSE)&lt;0,"Risco elevado",IF(VLOOKUP(BK262,Fundamentus!A:U,8,FALSE)&lt;1,"Saudável",IF(VLOOKUP(BK262,Fundamentus!A:U,8,FALSE)&lt;3,"Estável",IF(VLOOKUP(BK262,Fundamentus!A:U,8,FALSE)&gt;3,"Alerta","n/a"))))</f>
        <v>Risco elevado</v>
      </c>
      <c r="ET262" s="36" t="str">
        <f t="shared" ref="ET262:ET271" si="258">IF(EK262&gt;1,"Bom","Ruim")</f>
        <v>Ruim</v>
      </c>
      <c r="EU262" s="20" t="str">
        <f>IF(VLOOKUP(BK262,Fundamentus!A:U,12,FALSE)&lt;2,"Subvalorizada",IF(VLOOKUP(BK262,Fundamentus!A:U,12,FALSE)&lt;6,"Muita barata",IF(VLOOKUP(BK262,Fundamentus!A:U,12,FALSE)&lt;6,"Barata",IF(VLOOKUP(BK262,Fundamentus!A:U,12,FALSE)&lt;8,"Atrativa",IF(VLOOKUP(BK262,Fundamentus!A:U,12,FALSE)&gt;8,"Supervalorizada","n/a")))))</f>
        <v>Muita barata</v>
      </c>
      <c r="EW262" s="20" t="str">
        <f>IF(VLOOKUP(BK262,Fundamentus!A:U,17,FALSE)&lt;0.1,"Fraco retorno",IF(VLOOKUP(BK262,Fundamentus!A:U,17,FALSE)&gt;0.1,"Bom retorno","n/a"))</f>
        <v>Fraco retorno</v>
      </c>
      <c r="EX262" s="20" t="str">
        <f>IF(VLOOKUP(BK262,Fundamentus!A:U,16,FALSE)&lt;0.1,"Ineficiente",IF(VLOOKUP(BK262,Fundamentus!A:U,16,FALSE)&gt;0.1,"Eficiente","n/a"))</f>
        <v>Eficiente</v>
      </c>
      <c r="EY262" s="41" t="str">
        <f>IF(VLOOKUP(BK262,Fundamentus!A:U,16,FALSE)&lt;0.1,"Oper. Ineficiente",IF(VLOOKUP(BK262,Fundamentus!A:U,16,FALSE)&gt;0.1,"Oper.Eficiente","n/a"))</f>
        <v>Oper.Eficiente</v>
      </c>
      <c r="EZ262" s="42">
        <f>VLOOKUP(BK262,Fundamentus!A:U,14,FALSE)</f>
        <v>0.58760000000000001</v>
      </c>
      <c r="FA262" s="20" t="str">
        <f>IF(VLOOKUP(BK262,Fundamentus!A:U,21,FALSE)&lt;0,"Negativo",IF(VLOOKUP(BK262,Fundamentus!A:U,21,FALSE)&lt;0.05,"Fraco",IF(VLOOKUP(BK262,Fundamentus!A:U,21,FALSE)&lt;0.1,"Bom",IF(VLOOKUP(BK262,Fundamentus!A:U,21,FALSE)&gt;0.1,"Muito bom","n/a"))))</f>
        <v>Muito bom</v>
      </c>
      <c r="FC262" s="37" t="str">
        <f>IF(VLOOKUP(BK262,Fundamentus!A:U,15,FALSE)&gt;1,"Bom",IF(VLOOKUP(BK262,Fundamentus!A:U,15,FALSE)&lt;1,"Ruim","n/a"))</f>
        <v>Ruim</v>
      </c>
      <c r="FD262" s="20" t="str">
        <f>IF(VLOOKUP(BK262,Fundamentus!A:U,20,FALSE)&lt;0.5,"Baixa",IF(VLOOKUP(BK262,Fundamentus!A:U,20,FALSE)&lt;1,"Moderada",IF(VLOOKUP(BK262,Fundamentus!A:U,20,FALSE)&lt;2,"Alerta",IF(VLOOKUP(BK262,Fundamentus!A:U,20,FALSE)&gt;2,"Alta","n/a"))))</f>
        <v>Baixa</v>
      </c>
    </row>
    <row r="263" spans="1:160" s="2" customFormat="1" ht="11.25" hidden="1"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8">
        <v>5.01</v>
      </c>
      <c r="BC263" s="62">
        <v>4.96</v>
      </c>
      <c r="BD263" s="62">
        <v>6.74</v>
      </c>
      <c r="BE263" s="62">
        <v>7.97</v>
      </c>
      <c r="BF263" s="62">
        <v>7.93</v>
      </c>
      <c r="BG263" s="81">
        <v>7.76</v>
      </c>
      <c r="BH263" s="62">
        <v>7.36</v>
      </c>
      <c r="BI263" s="62">
        <v>7.01</v>
      </c>
      <c r="BJ263" s="62" cm="1">
        <f t="array" aca="1" ref="BJ263" ca="1">_FV(EH263,"Preço")</f>
        <v>6.77</v>
      </c>
      <c r="BK263" s="83" t="s">
        <v>259</v>
      </c>
      <c r="BL263" s="44" cm="1">
        <f t="array" aca="1" ref="BL263" ca="1">_FV(EH263,"Média de volume",TRUE)</f>
        <v>19420</v>
      </c>
      <c r="BM263" s="44">
        <v>16000</v>
      </c>
      <c r="BN263" s="44" cm="1">
        <f t="array" aca="1" ref="BN263" ca="1">_FV(EH263,"Volume")</f>
        <v>6900</v>
      </c>
      <c r="BO263" s="32" cm="1">
        <f t="array" aca="1" ref="BO263" ca="1">_FV(EH263,"Beta")</f>
        <v>1.6533</v>
      </c>
      <c r="BP263" s="86" cm="1">
        <f t="array" aca="1" ref="BP263" ca="1">_FV(EH263,"Variação (%)",TRUE)</f>
        <v>-3.4237000000000004E-2</v>
      </c>
      <c r="BQ263" s="48"/>
      <c r="BR263" s="48"/>
      <c r="BT263" s="20" cm="1">
        <f t="array" aca="1" ref="BT263" ca="1">_FV(EH263,"Baixo")</f>
        <v>6.52</v>
      </c>
      <c r="BU263" s="20" cm="1">
        <f t="array" aca="1" ref="BU263" ca="1">_FV(EH263,"Alto")</f>
        <v>6.95</v>
      </c>
      <c r="BV263" s="32"/>
      <c r="BW263" s="73">
        <f ca="1">SQRT(22.5*(BJ263/VLOOKUP(BK263,Fundamentus!A:U,3,FALSE))*(BJ263/VLOOKUP(BK263,Fundamentus!A:U,4,FALSE)))</f>
        <v>13.14492896652299</v>
      </c>
      <c r="BY263" s="72">
        <f t="shared" ca="1" si="245"/>
        <v>-3.4236804564907304E-2</v>
      </c>
      <c r="BZ263" s="8"/>
      <c r="CA263" s="71">
        <f t="shared" si="205"/>
        <v>2.85</v>
      </c>
      <c r="CB263" s="71">
        <f t="shared" si="246"/>
        <v>8.83</v>
      </c>
      <c r="CC263" s="71">
        <f t="shared" si="206"/>
        <v>5.5263114754098366</v>
      </c>
      <c r="CD263" s="17"/>
      <c r="CE263" s="43">
        <f t="shared" ref="CE263:CE271" si="259">CF263-DW263*2</f>
        <v>6.0099475543709193</v>
      </c>
      <c r="CF263" s="18">
        <f>FORECAST("04/07/2025", BF263:BI263, $BF$5:$BI$5)</f>
        <v>6.7249999999999091</v>
      </c>
      <c r="CG263" s="43">
        <f t="shared" ref="CG263:CG271" si="260">CF263+DW263*2</f>
        <v>7.4400524456288988</v>
      </c>
      <c r="CI263" s="17"/>
      <c r="CJ263" s="20">
        <f>CA263-2*(CB263-CM263)</f>
        <v>-2.350000000000001</v>
      </c>
      <c r="CK263" s="20">
        <f>CM263-(CB263-CA263)</f>
        <v>0.24999999999999911</v>
      </c>
      <c r="CL263" s="20">
        <f>2*CM263-CB263</f>
        <v>3.629999999999999</v>
      </c>
      <c r="CM263" s="48">
        <f>(CB263+CA263+BI263)/3</f>
        <v>6.2299999999999995</v>
      </c>
      <c r="CN263" s="20">
        <f>2*CM263-CA263</f>
        <v>9.61</v>
      </c>
      <c r="CO263" s="20">
        <f>CM263+(CB263-CA263)</f>
        <v>12.21</v>
      </c>
      <c r="CP263" s="20">
        <f>CB263+2*(CM263-CA263)</f>
        <v>15.59</v>
      </c>
      <c r="CQ263" s="2" cm="1">
        <f t="array" aca="1" ref="CQ263" ca="1">MAX(_xlfn._xlws.FILTER(CJ263:CP263,CJ263:CP263&lt;BJ263))</f>
        <v>6.2299999999999995</v>
      </c>
      <c r="CR263" s="2" cm="1">
        <f t="array" aca="1" ref="CR263" ca="1">MIN(_xlfn._xlws.FILTER($CJ263:$CP263,$CJ263:$CP263&gt;BJ263))</f>
        <v>9.61</v>
      </c>
      <c r="CS263" s="19">
        <f t="shared" ca="1" si="247"/>
        <v>0.5425361155698234</v>
      </c>
      <c r="CT263" s="23">
        <f t="shared" ca="1" si="248"/>
        <v>-0.2712680577849117</v>
      </c>
      <c r="CU263" s="23">
        <f t="shared" ca="1" si="249"/>
        <v>-0.18084537185660779</v>
      </c>
      <c r="CV263" s="23">
        <f t="shared" ca="1" si="250"/>
        <v>-0.10850722311396468</v>
      </c>
      <c r="CW263" s="23">
        <f t="shared" ca="1" si="251"/>
        <v>-6.0281790618869263E-2</v>
      </c>
      <c r="CX263" s="23">
        <f t="shared" ca="1" si="230"/>
        <v>-3.191388915116608E-2</v>
      </c>
      <c r="CY263" s="23">
        <f t="shared" ca="1" si="231"/>
        <v>-1.6440488350600708E-2</v>
      </c>
      <c r="CZ263" s="23">
        <f t="shared" ca="1" si="232"/>
        <v>-8.3467094703049746E-3</v>
      </c>
      <c r="DA263" s="24">
        <f t="shared" ca="1" si="233"/>
        <v>8.3467094703049746E-3</v>
      </c>
      <c r="DB263" s="24">
        <f t="shared" ca="1" si="234"/>
        <v>1.6440488350600708E-2</v>
      </c>
      <c r="DC263" s="24">
        <f t="shared" ca="1" si="235"/>
        <v>3.191388915116608E-2</v>
      </c>
      <c r="DD263" s="24">
        <f t="shared" ca="1" si="252"/>
        <v>6.0281790618869263E-2</v>
      </c>
      <c r="DE263" s="24">
        <f t="shared" ca="1" si="253"/>
        <v>0.10850722311396468</v>
      </c>
      <c r="DF263" s="24">
        <f t="shared" ca="1" si="254"/>
        <v>0.18084537185660779</v>
      </c>
      <c r="DG263" s="24">
        <f t="shared" ca="1" si="255"/>
        <v>0.2712680577849117</v>
      </c>
      <c r="DI263" s="19" cm="1">
        <f t="array" aca="1" ref="DI263" ca="1">MAX(_xlfn._xlws.FILTER(CT263:DG263,CT263:DG263&lt;BP263))</f>
        <v>-6.0281790618869263E-2</v>
      </c>
      <c r="DJ263" s="19" cm="1">
        <f t="array" aca="1" ref="DJ263" ca="1">MIN(_xlfn._xlws.FILTER(CT263:DG263,CT263:DG263&gt;BP263))</f>
        <v>-3.191388915116608E-2</v>
      </c>
      <c r="DK263" s="2" cm="1">
        <f t="array" aca="1" ref="DK263" ca="1">_FV(EH263,"Fechamento anterior",TRUE)</f>
        <v>7.01</v>
      </c>
      <c r="DL263" s="36">
        <f ca="1">(BJ263-DM263)/(DN263-DM263)</f>
        <v>0.91811465446656859</v>
      </c>
      <c r="DM263" s="18">
        <f t="shared" ca="1" si="243"/>
        <v>6.5874246477617264</v>
      </c>
      <c r="DN263" s="18">
        <f t="shared" ca="1" si="244"/>
        <v>6.7862836370503254</v>
      </c>
      <c r="DO263" s="9"/>
      <c r="DP263" s="9"/>
      <c r="DQ263" s="94">
        <v>9.6400394477317547E-2</v>
      </c>
      <c r="DR263" s="94">
        <v>1.7796995903504781E-2</v>
      </c>
      <c r="DS263" s="94">
        <v>2.9290728637133862E-2</v>
      </c>
      <c r="DT263" s="94">
        <f t="shared" ca="1" si="256"/>
        <v>2.8367901467703183E-2</v>
      </c>
      <c r="DU263" s="87">
        <f ca="1">(BJ263-CF263)/(CF263-CE263)</f>
        <v>6.2932446808858414E-2</v>
      </c>
      <c r="DV263" s="46"/>
      <c r="DW263" s="43">
        <f>_xlfn.STDEV.P(BF263:BI263)</f>
        <v>0.35752622281449503</v>
      </c>
      <c r="DX263" s="76">
        <f ca="1">BO263-$DT$2</f>
        <v>0.65619999999999989</v>
      </c>
      <c r="DY263" s="76">
        <f ca="1">BO263-BP263*100</f>
        <v>5.077</v>
      </c>
      <c r="DZ263" s="101"/>
      <c r="EA263" s="100">
        <v>-1.1188</v>
      </c>
      <c r="EB263" s="107">
        <v>-2.5488999999999997</v>
      </c>
      <c r="EC263" s="107">
        <v>-3.7916999999999996</v>
      </c>
      <c r="ED263" s="98">
        <f t="shared" ca="1" si="224"/>
        <v>-4.4207999999999998</v>
      </c>
      <c r="EE263" s="66"/>
      <c r="EF263" s="66"/>
      <c r="EH263" s="2" t="e" vm="265">
        <v>#VALUE!</v>
      </c>
      <c r="EJ263" s="10" cm="1">
        <f t="array" aca="1" ref="EJ263" ca="1">_FV(EH263,"Ações em circulação",TRUE)</f>
        <v>13321980</v>
      </c>
      <c r="EK263" s="21">
        <f>VLOOKUP(BK263,Fundamentus!A:U,5,FALSE)</f>
        <v>0.63700000000000001</v>
      </c>
      <c r="EL263" s="2">
        <f ca="1">(BJ263*EJ263)/EK263</f>
        <v>141585250.54945055</v>
      </c>
      <c r="EM263" s="20">
        <v>-6567882.5353846159</v>
      </c>
      <c r="EN263" s="20">
        <f t="shared" ca="1" si="257"/>
        <v>-6343019.2246153848</v>
      </c>
      <c r="EP263" s="19">
        <f t="shared" ca="1" si="242"/>
        <v>-3.4236804564907297E-2</v>
      </c>
      <c r="EQ263" s="40" t="str">
        <f>IF(VLOOKUP(BK263,Fundamentus!A:U,3,FALSE)&lt;15,"Bom",IF(VLOOKUP(BK263,Fundamentus!A:U,3,FALSE)&gt;15,"Ruim","n/a"))</f>
        <v>Bom</v>
      </c>
      <c r="ER263" s="36" t="str">
        <f>IF(VLOOKUP(BK263,Fundamentus!A:U,4,FALSE)&lt;1,"Baixo",IF(VLOOKUP(BK263,Fundamentus!A:U,4,FALSE)&lt;1.5,"Moderado",IF(VLOOKUP(BK263,Fundamentus!A:U,4,FALSE)&gt;1.5,"Alto","n/a")))</f>
        <v>Baixo</v>
      </c>
      <c r="ES263" s="20" t="str">
        <f>IF(VLOOKUP(BK263,Fundamentus!A:U,8,FALSE)&lt;0,"Risco elevado",IF(VLOOKUP(BK263,Fundamentus!A:U,8,FALSE)&lt;1,"Saudável",IF(VLOOKUP(BK263,Fundamentus!A:U,8,FALSE)&lt;3,"Estável",IF(VLOOKUP(BK263,Fundamentus!A:U,8,FALSE)&gt;3,"Alerta","n/a"))))</f>
        <v>Risco elevado</v>
      </c>
      <c r="ET263" s="36" t="str">
        <f t="shared" si="258"/>
        <v>Ruim</v>
      </c>
      <c r="EU263" s="20" t="str">
        <f>IF(VLOOKUP(BK263,Fundamentus!A:U,12,FALSE)&lt;2,"Subvalorizada",IF(VLOOKUP(BK263,Fundamentus!A:U,12,FALSE)&lt;6,"Muita barata",IF(VLOOKUP(BK263,Fundamentus!A:U,12,FALSE)&lt;6,"Barata",IF(VLOOKUP(BK263,Fundamentus!A:U,12,FALSE)&lt;8,"Atrativa",IF(VLOOKUP(BK263,Fundamentus!A:U,12,FALSE)&gt;8,"Supervalorizada","n/a")))))</f>
        <v>Muita barata</v>
      </c>
      <c r="EW263" s="20" t="str">
        <f>IF(VLOOKUP(BK263,Fundamentus!A:U,17,FALSE)&lt;0.1,"Fraco retorno",IF(VLOOKUP(BK263,Fundamentus!A:U,17,FALSE)&gt;0.1,"Bom retorno","n/a"))</f>
        <v>Fraco retorno</v>
      </c>
      <c r="EX263" s="20" t="str">
        <f>IF(VLOOKUP(BK263,Fundamentus!A:U,16,FALSE)&lt;0.1,"Ineficiente",IF(VLOOKUP(BK263,Fundamentus!A:U,16,FALSE)&gt;0.1,"Eficiente","n/a"))</f>
        <v>Ineficiente</v>
      </c>
      <c r="EY263" s="41" t="str">
        <f>IF(VLOOKUP(BK263,Fundamentus!A:U,16,FALSE)&lt;0.1,"Oper. Ineficiente",IF(VLOOKUP(BK263,Fundamentus!A:U,16,FALSE)&gt;0.1,"Oper.Eficiente","n/a"))</f>
        <v>Oper. Ineficiente</v>
      </c>
      <c r="EZ263" s="42">
        <f>VLOOKUP(BK263,Fundamentus!A:U,14,FALSE)</f>
        <v>-4.48E-2</v>
      </c>
      <c r="FA263" s="20" t="str">
        <f>IF(VLOOKUP(BK263,Fundamentus!A:U,21,FALSE)&lt;0,"Negativo",IF(VLOOKUP(BK263,Fundamentus!A:U,21,FALSE)&lt;0.05,"Fraco",IF(VLOOKUP(BK263,Fundamentus!A:U,21,FALSE)&lt;0.1,"Bom",IF(VLOOKUP(BK263,Fundamentus!A:U,21,FALSE)&gt;0.1,"Muito bom","n/a"))))</f>
        <v>Bom</v>
      </c>
      <c r="FC263" s="37" t="str">
        <f>IF(VLOOKUP(BK263,Fundamentus!A:U,15,FALSE)&gt;1,"Bom",IF(VLOOKUP(BK263,Fundamentus!A:U,15,FALSE)&lt;1,"Ruim","n/a"))</f>
        <v>Ruim</v>
      </c>
      <c r="FD263" s="20" t="str">
        <f>IF(VLOOKUP(BK263,Fundamentus!A:U,20,FALSE)&lt;0.5,"Baixa",IF(VLOOKUP(BK263,Fundamentus!A:U,20,FALSE)&lt;1,"Moderada",IF(VLOOKUP(BK263,Fundamentus!A:U,20,FALSE)&lt;2,"Alerta",IF(VLOOKUP(BK263,Fundamentus!A:U,20,FALSE)&gt;2,"Alta","n/a"))))</f>
        <v>Baixa</v>
      </c>
    </row>
    <row r="264" spans="1:160" s="2" customFormat="1" ht="11.25" hidden="1"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8">
        <v>2.12</v>
      </c>
      <c r="BC264" s="62">
        <v>2.16</v>
      </c>
      <c r="BD264" s="62">
        <v>2.11</v>
      </c>
      <c r="BE264" s="62">
        <v>2.2200000000000002</v>
      </c>
      <c r="BF264" s="62">
        <v>2.15</v>
      </c>
      <c r="BG264" s="81">
        <v>1.92</v>
      </c>
      <c r="BH264" s="62">
        <v>1.88</v>
      </c>
      <c r="BI264" s="62">
        <v>1.82</v>
      </c>
      <c r="BJ264" s="62" cm="1">
        <f t="array" aca="1" ref="BJ264" ca="1">_FV(EH264,"Preço")</f>
        <v>1.83</v>
      </c>
      <c r="BK264" s="83" t="s">
        <v>260</v>
      </c>
      <c r="BL264" s="44" cm="1">
        <f t="array" aca="1" ref="BL264" ca="1">_FV(EH264,"Média de volume",TRUE)</f>
        <v>207840</v>
      </c>
      <c r="BM264" s="44">
        <v>145300</v>
      </c>
      <c r="BN264" s="44" cm="1">
        <f t="array" aca="1" ref="BN264" ca="1">_FV(EH264,"Volume")</f>
        <v>45000</v>
      </c>
      <c r="BO264" s="32" cm="1">
        <f t="array" aca="1" ref="BO264" ca="1">_FV(EH264,"Beta")</f>
        <v>1.2706</v>
      </c>
      <c r="BP264" s="86" cm="1">
        <f t="array" aca="1" ref="BP264" ca="1">_FV(EH264,"Variação (%)",TRUE)</f>
        <v>5.4949999999999999E-3</v>
      </c>
      <c r="BQ264" s="48"/>
      <c r="BR264" s="48"/>
      <c r="BT264" s="20" cm="1">
        <f t="array" aca="1" ref="BT264" ca="1">_FV(EH264,"Baixo")</f>
        <v>1.78</v>
      </c>
      <c r="BU264" s="20" cm="1">
        <f t="array" aca="1" ref="BU264" ca="1">_FV(EH264,"Alto")</f>
        <v>1.84</v>
      </c>
      <c r="BV264" s="32"/>
      <c r="BW264" s="73">
        <f ca="1">SQRT(22.5*(BJ264/VLOOKUP(BK264,Fundamentus!A:U,3,FALSE))*(BJ264/VLOOKUP(BK264,Fundamentus!A:U,4,FALSE)))</f>
        <v>231.9948429229778</v>
      </c>
      <c r="BY264" s="72">
        <f t="shared" ca="1" si="245"/>
        <v>5.4945054945054993E-3</v>
      </c>
      <c r="BZ264" s="8"/>
      <c r="CA264" s="71">
        <f t="shared" si="205"/>
        <v>0.97</v>
      </c>
      <c r="CB264" s="71">
        <f t="shared" si="246"/>
        <v>2.73</v>
      </c>
      <c r="CC264" s="71">
        <f t="shared" si="206"/>
        <v>1.727377049180328</v>
      </c>
      <c r="CD264" s="17"/>
      <c r="CE264" s="43">
        <f t="shared" si="259"/>
        <v>1.4350500050009458</v>
      </c>
      <c r="CF264" s="18">
        <f>FORECAST("04/07/2025", BF264:BI264, $BF$5:$BI$5)</f>
        <v>1.6849999999999454</v>
      </c>
      <c r="CG264" s="43">
        <f t="shared" si="260"/>
        <v>1.934949994998945</v>
      </c>
      <c r="CI264" s="17"/>
      <c r="CJ264" s="20">
        <f>CA264-2*(CB264-CM264)</f>
        <v>-0.80999999999999983</v>
      </c>
      <c r="CK264" s="20">
        <f>CM264-(CB264-CA264)</f>
        <v>8.0000000000000071E-2</v>
      </c>
      <c r="CL264" s="20">
        <f>2*CM264-CB264</f>
        <v>0.95000000000000018</v>
      </c>
      <c r="CM264" s="48">
        <f>(CB264+CA264+BI264)/3</f>
        <v>1.84</v>
      </c>
      <c r="CN264" s="20">
        <f>2*CM264-CA264</f>
        <v>2.71</v>
      </c>
      <c r="CO264" s="20">
        <f>CM264+(CB264-CA264)</f>
        <v>3.6</v>
      </c>
      <c r="CP264" s="20">
        <f>CB264+2*(CM264-CA264)</f>
        <v>4.4700000000000006</v>
      </c>
      <c r="CQ264" s="2" cm="1">
        <f t="array" aca="1" ref="CQ264" ca="1">MAX(_xlfn._xlws.FILTER(CJ264:CP264,CJ264:CP264&lt;BJ264))</f>
        <v>0.95000000000000018</v>
      </c>
      <c r="CR264" s="2" cm="1">
        <f t="array" aca="1" ref="CR264" ca="1">MIN(_xlfn._xlws.FILTER($CJ264:$CP264,$CJ264:$CP264&gt;BJ264))</f>
        <v>1.84</v>
      </c>
      <c r="CS264" s="19">
        <f t="shared" ca="1" si="247"/>
        <v>0.9368421052631577</v>
      </c>
      <c r="CT264" s="23">
        <f t="shared" ca="1" si="248"/>
        <v>-0.46842105263157885</v>
      </c>
      <c r="CU264" s="23">
        <f t="shared" ca="1" si="249"/>
        <v>-0.31228070175438588</v>
      </c>
      <c r="CV264" s="23">
        <f t="shared" ca="1" si="250"/>
        <v>-0.18736842105263155</v>
      </c>
      <c r="CW264" s="23">
        <f t="shared" ca="1" si="251"/>
        <v>-0.10409356725146196</v>
      </c>
      <c r="CX264" s="23">
        <f t="shared" ref="CX264:CX271" ca="1" si="261">-$CS264/17</f>
        <v>-5.5108359133126922E-2</v>
      </c>
      <c r="CY264" s="23">
        <f t="shared" ref="CY264:CY271" ca="1" si="262">-$CS264/33</f>
        <v>-2.8389154704944172E-2</v>
      </c>
      <c r="CZ264" s="23">
        <f t="shared" ref="CZ264:CZ271" ca="1" si="263">-$CS264/65</f>
        <v>-1.4412955465587041E-2</v>
      </c>
      <c r="DA264" s="24">
        <f t="shared" ref="DA264:DA271" ca="1" si="264">-$CS264/65*-1</f>
        <v>1.4412955465587041E-2</v>
      </c>
      <c r="DB264" s="24">
        <f t="shared" ref="DB264:DB271" ca="1" si="265">-$CS264/33*-1</f>
        <v>2.8389154704944172E-2</v>
      </c>
      <c r="DC264" s="24">
        <f t="shared" ref="DC264:DC271" ca="1" si="266">-$CS264/17*-1</f>
        <v>5.5108359133126922E-2</v>
      </c>
      <c r="DD264" s="24">
        <f t="shared" ca="1" si="252"/>
        <v>0.10409356725146196</v>
      </c>
      <c r="DE264" s="24">
        <f t="shared" ca="1" si="253"/>
        <v>0.18736842105263155</v>
      </c>
      <c r="DF264" s="24">
        <f t="shared" ca="1" si="254"/>
        <v>0.31228070175438588</v>
      </c>
      <c r="DG264" s="24">
        <f t="shared" ca="1" si="255"/>
        <v>0.46842105263157885</v>
      </c>
      <c r="DI264" s="19" cm="1">
        <f t="array" aca="1" ref="DI264" ca="1">MAX(_xlfn._xlws.FILTER(CT264:DG264,CT264:DG264&lt;BP264))</f>
        <v>-1.4412955465587041E-2</v>
      </c>
      <c r="DJ264" s="19" cm="1">
        <f t="array" aca="1" ref="DJ264" ca="1">MIN(_xlfn._xlws.FILTER(CT264:DG264,CT264:DG264&gt;BP264))</f>
        <v>1.4412955465587041E-2</v>
      </c>
      <c r="DK264" s="2" cm="1">
        <f t="array" aca="1" ref="DK264" ca="1">_FV(EH264,"Fechamento anterior",TRUE)</f>
        <v>1.82</v>
      </c>
      <c r="DL264" s="36">
        <f ca="1">(BJ264-DM264)/(DN264-DM264)</f>
        <v>0.69060995184590734</v>
      </c>
      <c r="DM264" s="18">
        <f t="shared" ca="1" si="243"/>
        <v>1.7937684210526317</v>
      </c>
      <c r="DN264" s="18">
        <f t="shared" ca="1" si="244"/>
        <v>1.8462315789473684</v>
      </c>
      <c r="DO264" s="9"/>
      <c r="DP264" s="9"/>
      <c r="DQ264" s="94">
        <v>2.8623994958273613E-2</v>
      </c>
      <c r="DR264" s="94">
        <v>1.5613088159058333E-2</v>
      </c>
      <c r="DS264" s="94">
        <v>1.4837120175198466E-2</v>
      </c>
      <c r="DT264" s="94">
        <f t="shared" ca="1" si="256"/>
        <v>2.8825910931174082E-2</v>
      </c>
      <c r="DU264" s="87">
        <f ca="1">(BJ264-CF264)/(CF264-CE264)</f>
        <v>0.58011603481182294</v>
      </c>
      <c r="DV264" s="46"/>
      <c r="DW264" s="43">
        <f>_xlfn.STDEV.P(BF264:BI264)</f>
        <v>0.12497499749949983</v>
      </c>
      <c r="DX264" s="76">
        <f ca="1">BO264-$DT$2</f>
        <v>0.27349999999999985</v>
      </c>
      <c r="DY264" s="76">
        <f ca="1">BO264-BP264*100</f>
        <v>0.72109999999999996</v>
      </c>
      <c r="DZ264" s="101"/>
      <c r="EA264" s="100">
        <v>0.29869999999999997</v>
      </c>
      <c r="EB264" s="107">
        <v>0.71279999999999966</v>
      </c>
      <c r="EC264" s="107">
        <v>1.8569000000000002</v>
      </c>
      <c r="ED264" s="98">
        <f t="shared" ca="1" si="224"/>
        <v>-0.44760000000000011</v>
      </c>
      <c r="EE264" s="66"/>
      <c r="EF264" s="66"/>
      <c r="EH264" s="2" t="e" vm="266">
        <v>#VALUE!</v>
      </c>
      <c r="EJ264" s="10" cm="1">
        <f t="array" aca="1" ref="EJ264" ca="1">_FV(EH264,"Ações em circulação",TRUE)</f>
        <v>80329420</v>
      </c>
      <c r="EK264" s="21">
        <f>VLOOKUP(BK264,Fundamentus!A:U,5,FALSE)</f>
        <v>0.28000000000000003</v>
      </c>
      <c r="EL264" s="2">
        <f ca="1">(BJ264*EJ264)/EK264</f>
        <v>525010137.85714281</v>
      </c>
      <c r="EM264" s="20">
        <v>-1966488300.4259999</v>
      </c>
      <c r="EN264" s="20">
        <f t="shared" ca="1" si="257"/>
        <v>-1977293181.1975713</v>
      </c>
      <c r="EP264" s="19">
        <f t="shared" ca="1" si="242"/>
        <v>5.494505494505475E-3</v>
      </c>
      <c r="EQ264" s="40" t="str">
        <f>IF(VLOOKUP(BK264,Fundamentus!A:U,3,FALSE)&lt;15,"Bom",IF(VLOOKUP(BK264,Fundamentus!A:U,3,FALSE)&gt;15,"Ruim","n/a"))</f>
        <v>Bom</v>
      </c>
      <c r="ER264" s="36" t="str">
        <f>IF(VLOOKUP(BK264,Fundamentus!A:U,4,FALSE)&lt;1,"Baixo",IF(VLOOKUP(BK264,Fundamentus!A:U,4,FALSE)&lt;1.5,"Moderado",IF(VLOOKUP(BK264,Fundamentus!A:U,4,FALSE)&gt;1.5,"Alto","n/a")))</f>
        <v>Baixo</v>
      </c>
      <c r="ES264" s="20" t="str">
        <f>IF(VLOOKUP(BK264,Fundamentus!A:U,8,FALSE)&lt;0,"Risco elevado",IF(VLOOKUP(BK264,Fundamentus!A:U,8,FALSE)&lt;1,"Saudável",IF(VLOOKUP(BK264,Fundamentus!A:U,8,FALSE)&lt;3,"Estável",IF(VLOOKUP(BK264,Fundamentus!A:U,8,FALSE)&gt;3,"Alerta","n/a"))))</f>
        <v>Risco elevado</v>
      </c>
      <c r="ET264" s="36" t="str">
        <f t="shared" si="258"/>
        <v>Ruim</v>
      </c>
      <c r="EU264" s="20" t="str">
        <f>IF(VLOOKUP(BK264,Fundamentus!A:U,12,FALSE)&lt;2,"Subvalorizada",IF(VLOOKUP(BK264,Fundamentus!A:U,12,FALSE)&lt;6,"Muita barata",IF(VLOOKUP(BK264,Fundamentus!A:U,12,FALSE)&lt;6,"Barata",IF(VLOOKUP(BK264,Fundamentus!A:U,12,FALSE)&lt;8,"Atrativa",IF(VLOOKUP(BK264,Fundamentus!A:U,12,FALSE)&gt;8,"Supervalorizada","n/a")))))</f>
        <v>Subvalorizada</v>
      </c>
      <c r="EW264" s="20" t="str">
        <f>IF(VLOOKUP(BK264,Fundamentus!A:U,17,FALSE)&lt;0.1,"Fraco retorno",IF(VLOOKUP(BK264,Fundamentus!A:U,17,FALSE)&gt;0.1,"Bom retorno","n/a"))</f>
        <v>Bom retorno</v>
      </c>
      <c r="EX264" s="20" t="str">
        <f>IF(VLOOKUP(BK264,Fundamentus!A:U,16,FALSE)&lt;0.1,"Ineficiente",IF(VLOOKUP(BK264,Fundamentus!A:U,16,FALSE)&gt;0.1,"Eficiente","n/a"))</f>
        <v>Ineficiente</v>
      </c>
      <c r="EY264" s="41" t="str">
        <f>IF(VLOOKUP(BK264,Fundamentus!A:U,16,FALSE)&lt;0.1,"Oper. Ineficiente",IF(VLOOKUP(BK264,Fundamentus!A:U,16,FALSE)&gt;0.1,"Oper.Eficiente","n/a"))</f>
        <v>Oper. Ineficiente</v>
      </c>
      <c r="EZ264" s="42">
        <f>VLOOKUP(BK264,Fundamentus!A:U,14,FALSE)</f>
        <v>-3.7662</v>
      </c>
      <c r="FA264" s="20" t="str">
        <f>IF(VLOOKUP(BK264,Fundamentus!A:U,21,FALSE)&lt;0,"Negativo",IF(VLOOKUP(BK264,Fundamentus!A:U,21,FALSE)&lt;0.05,"Fraco",IF(VLOOKUP(BK264,Fundamentus!A:U,21,FALSE)&lt;0.1,"Bom",IF(VLOOKUP(BK264,Fundamentus!A:U,21,FALSE)&gt;0.1,"Muito bom","n/a"))))</f>
        <v>Negativo</v>
      </c>
      <c r="FC264" s="37" t="str">
        <f>IF(VLOOKUP(BK264,Fundamentus!A:U,15,FALSE)&gt;1,"Bom",IF(VLOOKUP(BK264,Fundamentus!A:U,15,FALSE)&lt;1,"Ruim","n/a"))</f>
        <v>Ruim</v>
      </c>
      <c r="FD264" s="20" t="str">
        <f>IF(VLOOKUP(BK264,Fundamentus!A:U,20,FALSE)&lt;0.5,"Baixa",IF(VLOOKUP(BK264,Fundamentus!A:U,20,FALSE)&lt;1,"Moderada",IF(VLOOKUP(BK264,Fundamentus!A:U,20,FALSE)&lt;2,"Alerta",IF(VLOOKUP(BK264,Fundamentus!A:U,20,FALSE)&gt;2,"Alta","n/a"))))</f>
        <v>Baixa</v>
      </c>
    </row>
    <row r="265" spans="1:160" s="2" customFormat="1" ht="11.25" hidden="1"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8">
        <v>6.37</v>
      </c>
      <c r="BC265" s="62">
        <v>6.19</v>
      </c>
      <c r="BD265" s="62">
        <v>6.04</v>
      </c>
      <c r="BE265" s="62">
        <v>6.01</v>
      </c>
      <c r="BF265" s="62">
        <v>5.99</v>
      </c>
      <c r="BG265" s="81">
        <v>6.01</v>
      </c>
      <c r="BH265" s="62">
        <v>5.91</v>
      </c>
      <c r="BI265" s="62">
        <v>6.07</v>
      </c>
      <c r="BJ265" s="62" cm="1">
        <f t="array" aca="1" ref="BJ265" ca="1">_FV(EH265,"Preço")</f>
        <v>6</v>
      </c>
      <c r="BK265" s="83" t="s">
        <v>261</v>
      </c>
      <c r="BL265" s="44" cm="1">
        <f t="array" aca="1" ref="BL265" ca="1">_FV(EH265,"Média de volume",TRUE)</f>
        <v>30920</v>
      </c>
      <c r="BM265" s="44">
        <v>8900</v>
      </c>
      <c r="BN265" s="44" cm="1">
        <f t="array" aca="1" ref="BN265" ca="1">_FV(EH265,"Volume")</f>
        <v>11600</v>
      </c>
      <c r="BO265" s="32" cm="1">
        <f t="array" aca="1" ref="BO265" ca="1">_FV(EH265,"Beta")</f>
        <v>1.3461000000000001</v>
      </c>
      <c r="BP265" s="86" cm="1">
        <f t="array" aca="1" ref="BP265" ca="1">_FV(EH265,"Variação (%)",TRUE)</f>
        <v>-1.1532000000000001E-2</v>
      </c>
      <c r="BQ265" s="48"/>
      <c r="BR265" s="48"/>
      <c r="BT265" s="20" cm="1">
        <f t="array" aca="1" ref="BT265" ca="1">_FV(EH265,"Baixo")</f>
        <v>5.91</v>
      </c>
      <c r="BU265" s="20" cm="1">
        <f t="array" aca="1" ref="BU265" ca="1">_FV(EH265,"Alto")</f>
        <v>6.07</v>
      </c>
      <c r="BV265" s="32"/>
      <c r="BW265" s="73" t="e">
        <f ca="1">SQRT(22.5*(BJ265/VLOOKUP(BK265,Fundamentus!A:U,3,FALSE))*(BJ265/VLOOKUP(BK265,Fundamentus!A:U,4,FALSE)))</f>
        <v>#NUM!</v>
      </c>
      <c r="BY265" s="72">
        <f t="shared" ca="1" si="245"/>
        <v>-1.1532125205930853E-2</v>
      </c>
      <c r="BZ265" s="8"/>
      <c r="CA265" s="71">
        <f t="shared" si="205"/>
        <v>5.53</v>
      </c>
      <c r="CB265" s="71">
        <f t="shared" si="246"/>
        <v>17.3</v>
      </c>
      <c r="CC265" s="71">
        <f t="shared" si="206"/>
        <v>9.7850000000000019</v>
      </c>
      <c r="CD265" s="17"/>
      <c r="CE265" s="43">
        <f t="shared" si="259"/>
        <v>5.915544768577405</v>
      </c>
      <c r="CF265" s="18">
        <f>FORECAST("04/07/2025", BF265:BI265, $BF$5:$BI$5)</f>
        <v>6.0300000000000011</v>
      </c>
      <c r="CG265" s="43">
        <f t="shared" si="260"/>
        <v>6.1444552314225973</v>
      </c>
      <c r="CI265" s="17"/>
      <c r="CJ265" s="20">
        <f>CA265-2*(CB265-CM265)</f>
        <v>-9.803333333333331</v>
      </c>
      <c r="CK265" s="20">
        <f>CM265-(CB265-CA265)</f>
        <v>-2.1366666666666649</v>
      </c>
      <c r="CL265" s="20">
        <f>2*CM265-CB265</f>
        <v>1.9666666666666686</v>
      </c>
      <c r="CM265" s="48">
        <f>(CB265+CA265+BI265)/3</f>
        <v>9.6333333333333346</v>
      </c>
      <c r="CN265" s="20">
        <f>2*CM265-CA265</f>
        <v>13.736666666666668</v>
      </c>
      <c r="CO265" s="20">
        <f>CM265+(CB265-CA265)</f>
        <v>21.403333333333336</v>
      </c>
      <c r="CP265" s="20">
        <f>CB265+2*(CM265-CA265)</f>
        <v>25.506666666666668</v>
      </c>
      <c r="CQ265" s="2" cm="1">
        <f t="array" aca="1" ref="CQ265" ca="1">MAX(_xlfn._xlws.FILTER(CJ265:CP265,CJ265:CP265&lt;BJ265))</f>
        <v>1.9666666666666686</v>
      </c>
      <c r="CR265" s="2" cm="1">
        <f t="array" aca="1" ref="CR265" ca="1">MIN(_xlfn._xlws.FILTER($CJ265:$CP265,$CJ265:$CP265&gt;BJ265))</f>
        <v>9.6333333333333346</v>
      </c>
      <c r="CS265" s="19">
        <f t="shared" ca="1" si="247"/>
        <v>3.8983050847457585</v>
      </c>
      <c r="CT265" s="23">
        <f t="shared" ca="1" si="248"/>
        <v>-1.9491525423728793</v>
      </c>
      <c r="CU265" s="23">
        <f t="shared" ca="1" si="249"/>
        <v>-1.2994350282485863</v>
      </c>
      <c r="CV265" s="23">
        <f t="shared" ca="1" si="250"/>
        <v>-0.77966101694915169</v>
      </c>
      <c r="CW265" s="23">
        <f t="shared" ca="1" si="251"/>
        <v>-0.43314500941619538</v>
      </c>
      <c r="CX265" s="23">
        <f t="shared" ca="1" si="261"/>
        <v>-0.22931206380857402</v>
      </c>
      <c r="CY265" s="23">
        <f t="shared" ca="1" si="262"/>
        <v>-0.11813045711350784</v>
      </c>
      <c r="CZ265" s="23">
        <f t="shared" ca="1" si="263"/>
        <v>-5.997392438070398E-2</v>
      </c>
      <c r="DA265" s="24">
        <f t="shared" ca="1" si="264"/>
        <v>5.997392438070398E-2</v>
      </c>
      <c r="DB265" s="24">
        <f t="shared" ca="1" si="265"/>
        <v>0.11813045711350784</v>
      </c>
      <c r="DC265" s="24">
        <f t="shared" ca="1" si="266"/>
        <v>0.22931206380857402</v>
      </c>
      <c r="DD265" s="24">
        <f t="shared" ca="1" si="252"/>
        <v>0.43314500941619538</v>
      </c>
      <c r="DE265" s="24">
        <f t="shared" ca="1" si="253"/>
        <v>0.77966101694915169</v>
      </c>
      <c r="DF265" s="24">
        <f t="shared" ca="1" si="254"/>
        <v>1.2994350282485863</v>
      </c>
      <c r="DG265" s="24">
        <f t="shared" ca="1" si="255"/>
        <v>1.9491525423728793</v>
      </c>
      <c r="DI265" s="19" cm="1">
        <f t="array" aca="1" ref="DI265" ca="1">MAX(_xlfn._xlws.FILTER(CT265:DG265,CT265:DG265&lt;BP265))</f>
        <v>-5.997392438070398E-2</v>
      </c>
      <c r="DJ265" s="19" cm="1">
        <f t="array" aca="1" ref="DJ265" ca="1">MIN(_xlfn._xlws.FILTER(CT265:DG265,CT265:DG265&gt;BP265))</f>
        <v>5.997392438070398E-2</v>
      </c>
      <c r="DK265" s="2" cm="1">
        <f t="array" aca="1" ref="DK265" ca="1">_FV(EH265,"Fechamento anterior",TRUE)</f>
        <v>6.07</v>
      </c>
      <c r="DL265" s="36">
        <f ca="1">(BJ265-DM265)/(DN265-DM265)</f>
        <v>0.40385717355490253</v>
      </c>
      <c r="DM265" s="18">
        <f t="shared" ca="1" si="243"/>
        <v>5.7059582790091268</v>
      </c>
      <c r="DN265" s="18">
        <f t="shared" ca="1" si="244"/>
        <v>6.4340417209908738</v>
      </c>
      <c r="DO265" s="9"/>
      <c r="DP265" s="9"/>
      <c r="DQ265" s="94">
        <v>0.42260596546310802</v>
      </c>
      <c r="DR265" s="94">
        <v>0.42260596546310802</v>
      </c>
      <c r="DS265" s="94">
        <v>0.12275751929731148</v>
      </c>
      <c r="DT265" s="94">
        <f t="shared" ca="1" si="256"/>
        <v>0.11994784876140796</v>
      </c>
      <c r="DU265" s="87">
        <f ca="1">(BJ265-CF265)/(CF265-CE265)</f>
        <v>-0.26211121699832085</v>
      </c>
      <c r="DV265" s="46"/>
      <c r="DW265" s="43">
        <f>_xlfn.STDEV.P(BF265:BI265)</f>
        <v>5.7227615711298002E-2</v>
      </c>
      <c r="DX265" s="76">
        <f ca="1">BO265-$DT$2</f>
        <v>0.34899999999999998</v>
      </c>
      <c r="DY265" s="76">
        <f ca="1">BO265-BP265*100</f>
        <v>2.4992999999999999</v>
      </c>
      <c r="DZ265" s="101"/>
      <c r="EA265" s="100">
        <v>1.7987</v>
      </c>
      <c r="EB265" s="107">
        <v>-1.7138</v>
      </c>
      <c r="EC265" s="107">
        <v>2.1977000000000002</v>
      </c>
      <c r="ED265" s="98">
        <f t="shared" ca="1" si="224"/>
        <v>-2.1502999999999997</v>
      </c>
      <c r="EE265" s="66"/>
      <c r="EF265" s="66"/>
      <c r="EH265" s="2" t="e" vm="267">
        <v>#VALUE!</v>
      </c>
      <c r="EJ265" s="10" cm="1">
        <f t="array" aca="1" ref="EJ265" ca="1">_FV(EH265,"Ações em circulação",TRUE)</f>
        <v>114333800</v>
      </c>
      <c r="EK265" s="21">
        <f>VLOOKUP(BK265,Fundamentus!A:U,5,FALSE)</f>
        <v>0.60799999999999998</v>
      </c>
      <c r="EL265" s="2">
        <f ca="1">(BJ265*EJ265)/EK265</f>
        <v>1128294078.9473684</v>
      </c>
      <c r="EM265" s="20">
        <v>-9474097.3319078945</v>
      </c>
      <c r="EN265" s="20">
        <f t="shared" ca="1" si="257"/>
        <v>-9364840.8552631568</v>
      </c>
      <c r="EP265" s="19">
        <f t="shared" ca="1" si="242"/>
        <v>-1.1532125205930943E-2</v>
      </c>
      <c r="EQ265" s="40" t="str">
        <f>IF(VLOOKUP(BK265,Fundamentus!A:U,3,FALSE)&lt;15,"Bom",IF(VLOOKUP(BK265,Fundamentus!A:U,3,FALSE)&gt;15,"Ruim","n/a"))</f>
        <v>Bom</v>
      </c>
      <c r="ER265" s="36" t="str">
        <f>IF(VLOOKUP(BK265,Fundamentus!A:U,4,FALSE)&lt;1,"Baixo",IF(VLOOKUP(BK265,Fundamentus!A:U,4,FALSE)&lt;1.5,"Moderado",IF(VLOOKUP(BK265,Fundamentus!A:U,4,FALSE)&gt;1.5,"Alto","n/a")))</f>
        <v>Baixo</v>
      </c>
      <c r="ES265" s="20" t="str">
        <f>IF(VLOOKUP(BK265,Fundamentus!A:U,8,FALSE)&lt;0,"Risco elevado",IF(VLOOKUP(BK265,Fundamentus!A:U,8,FALSE)&lt;1,"Saudável",IF(VLOOKUP(BK265,Fundamentus!A:U,8,FALSE)&lt;3,"Estável",IF(VLOOKUP(BK265,Fundamentus!A:U,8,FALSE)&gt;3,"Alerta","n/a"))))</f>
        <v>Alerta</v>
      </c>
      <c r="ET265" s="36" t="str">
        <f t="shared" si="258"/>
        <v>Ruim</v>
      </c>
      <c r="EU265" s="20" t="str">
        <f>IF(VLOOKUP(BK265,Fundamentus!A:U,12,FALSE)&lt;2,"Subvalorizada",IF(VLOOKUP(BK265,Fundamentus!A:U,12,FALSE)&lt;6,"Muita barata",IF(VLOOKUP(BK265,Fundamentus!A:U,12,FALSE)&lt;6,"Barata",IF(VLOOKUP(BK265,Fundamentus!A:U,12,FALSE)&lt;8,"Atrativa",IF(VLOOKUP(BK265,Fundamentus!A:U,12,FALSE)&gt;8,"Supervalorizada","n/a")))))</f>
        <v>Muita barata</v>
      </c>
      <c r="EW265" s="20" t="str">
        <f>IF(VLOOKUP(BK265,Fundamentus!A:U,17,FALSE)&lt;0.1,"Fraco retorno",IF(VLOOKUP(BK265,Fundamentus!A:U,17,FALSE)&gt;0.1,"Bom retorno","n/a"))</f>
        <v>Fraco retorno</v>
      </c>
      <c r="EX265" s="20" t="str">
        <f>IF(VLOOKUP(BK265,Fundamentus!A:U,16,FALSE)&lt;0.1,"Ineficiente",IF(VLOOKUP(BK265,Fundamentus!A:U,16,FALSE)&gt;0.1,"Eficiente","n/a"))</f>
        <v>Ineficiente</v>
      </c>
      <c r="EY265" s="41" t="str">
        <f>IF(VLOOKUP(BK265,Fundamentus!A:U,16,FALSE)&lt;0.1,"Oper. Ineficiente",IF(VLOOKUP(BK265,Fundamentus!A:U,16,FALSE)&gt;0.1,"Oper.Eficiente","n/a"))</f>
        <v>Oper. Ineficiente</v>
      </c>
      <c r="EZ265" s="42">
        <f>VLOOKUP(BK265,Fundamentus!A:U,14,FALSE)</f>
        <v>-8.3000000000000001E-3</v>
      </c>
      <c r="FA265" s="20" t="str">
        <f>IF(VLOOKUP(BK265,Fundamentus!A:U,21,FALSE)&lt;0,"Negativo",IF(VLOOKUP(BK265,Fundamentus!A:U,21,FALSE)&lt;0.05,"Fraco",IF(VLOOKUP(BK265,Fundamentus!A:U,21,FALSE)&lt;0.1,"Bom",IF(VLOOKUP(BK265,Fundamentus!A:U,21,FALSE)&gt;0.1,"Muito bom","n/a"))))</f>
        <v>Muito bom</v>
      </c>
      <c r="FC265" s="37" t="str">
        <f>IF(VLOOKUP(BK265,Fundamentus!A:U,15,FALSE)&gt;1,"Bom",IF(VLOOKUP(BK265,Fundamentus!A:U,15,FALSE)&lt;1,"Ruim","n/a"))</f>
        <v>Bom</v>
      </c>
      <c r="FD265" s="20" t="str">
        <f>IF(VLOOKUP(BK265,Fundamentus!A:U,20,FALSE)&lt;0.5,"Baixa",IF(VLOOKUP(BK265,Fundamentus!A:U,20,FALSE)&lt;1,"Moderada",IF(VLOOKUP(BK265,Fundamentus!A:U,20,FALSE)&lt;2,"Alerta",IF(VLOOKUP(BK265,Fundamentus!A:U,20,FALSE)&gt;2,"Alta","n/a"))))</f>
        <v>Baixa</v>
      </c>
    </row>
    <row r="266" spans="1:160" s="2" customFormat="1" ht="11.25" hidden="1"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8">
        <v>5.97</v>
      </c>
      <c r="BC266" s="62">
        <v>5.95</v>
      </c>
      <c r="BD266" s="62">
        <v>5.13</v>
      </c>
      <c r="BE266" s="62">
        <v>5.21</v>
      </c>
      <c r="BF266" s="62">
        <v>5.0999999999999996</v>
      </c>
      <c r="BG266" s="81">
        <v>5.08</v>
      </c>
      <c r="BH266" s="62">
        <v>4.53</v>
      </c>
      <c r="BI266" s="62">
        <v>4.03</v>
      </c>
      <c r="BJ266" s="62" cm="1">
        <f t="array" aca="1" ref="BJ266" ca="1">_FV(EH266,"Preço")</f>
        <v>4.2</v>
      </c>
      <c r="BK266" s="83" t="s">
        <v>262</v>
      </c>
      <c r="BL266" s="44" cm="1">
        <f t="array" aca="1" ref="BL266" ca="1">_FV(EH266,"Média de volume",TRUE)</f>
        <v>3600</v>
      </c>
      <c r="BM266" s="44">
        <v>2300</v>
      </c>
      <c r="BN266" s="44" cm="1">
        <f t="array" aca="1" ref="BN266" ca="1">_FV(EH266,"Volume")</f>
        <v>200</v>
      </c>
      <c r="BO266" s="32" cm="1">
        <f t="array" aca="1" ref="BO266" ca="1">_FV(EH266,"Beta")</f>
        <v>1.2417</v>
      </c>
      <c r="BP266" s="86" cm="1">
        <f t="array" aca="1" ref="BP266" ca="1">_FV(EH266,"Variação (%)",TRUE)</f>
        <v>4.2183999999999999E-2</v>
      </c>
      <c r="BQ266" s="48"/>
      <c r="BR266" s="48"/>
      <c r="BT266" s="20" cm="1">
        <f t="array" aca="1" ref="BT266" ca="1">_FV(EH266,"Baixo")</f>
        <v>4.2</v>
      </c>
      <c r="BU266" s="20" cm="1">
        <f t="array" aca="1" ref="BU266" ca="1">_FV(EH266,"Alto")</f>
        <v>4.22</v>
      </c>
      <c r="BV266" s="32"/>
      <c r="BW266" s="73" t="e">
        <f ca="1">SQRT(22.5*(BJ266/VLOOKUP(BK266,Fundamentus!A:U,3,FALSE))*(BJ266/VLOOKUP(BK266,Fundamentus!A:U,4,FALSE)))</f>
        <v>#NUM!</v>
      </c>
      <c r="BY266" s="72">
        <f t="shared" ca="1" si="245"/>
        <v>4.2183622828784101E-2</v>
      </c>
      <c r="BZ266" s="8"/>
      <c r="CA266" s="71">
        <f t="shared" si="205"/>
        <v>4.03</v>
      </c>
      <c r="CB266" s="71">
        <f t="shared" si="246"/>
        <v>17.399999999999999</v>
      </c>
      <c r="CC266" s="71">
        <f t="shared" si="206"/>
        <v>9.068606557377052</v>
      </c>
      <c r="CD266" s="17"/>
      <c r="CE266" s="43">
        <f t="shared" si="259"/>
        <v>2.8610882396979931</v>
      </c>
      <c r="CF266" s="18">
        <f>FORECAST("04/07/2025", BF266:BI266, $BF$5:$BI$5)</f>
        <v>3.7449999999998909</v>
      </c>
      <c r="CG266" s="43">
        <f t="shared" si="260"/>
        <v>4.6289117603017882</v>
      </c>
      <c r="CI266" s="17"/>
      <c r="CJ266" s="20">
        <f>CA266-2*(CB266-CM266)</f>
        <v>-13.796666666666663</v>
      </c>
      <c r="CK266" s="20">
        <f>CM266-(CB266-CA266)</f>
        <v>-4.8833333333333311</v>
      </c>
      <c r="CL266" s="20">
        <f>2*CM266-CB266</f>
        <v>-0.42666666666666586</v>
      </c>
      <c r="CM266" s="48">
        <f>(CB266+CA266+BI266)/3</f>
        <v>8.4866666666666664</v>
      </c>
      <c r="CN266" s="20">
        <f>2*CM266-CA266</f>
        <v>12.943333333333332</v>
      </c>
      <c r="CO266" s="20">
        <f>CM266+(CB266-CA266)</f>
        <v>21.856666666666662</v>
      </c>
      <c r="CP266" s="20">
        <f>CB266+2*(CM266-CA266)</f>
        <v>26.313333333333333</v>
      </c>
      <c r="CQ266" s="2" cm="1">
        <f t="array" aca="1" ref="CQ266" ca="1">MAX(_xlfn._xlws.FILTER(CJ266:CP266,CJ266:CP266&lt;BJ266))</f>
        <v>-0.42666666666666586</v>
      </c>
      <c r="CR266" s="2" cm="1">
        <f t="array" aca="1" ref="CR266" ca="1">MIN(_xlfn._xlws.FILTER($CJ266:$CP266,$CJ266:$CP266&gt;BJ266))</f>
        <v>8.4866666666666664</v>
      </c>
      <c r="CS266" s="19">
        <f t="shared" ca="1" si="247"/>
        <v>-20.890625000000036</v>
      </c>
      <c r="CT266" s="23">
        <f t="shared" ca="1" si="248"/>
        <v>10.445312500000018</v>
      </c>
      <c r="CU266" s="23">
        <f t="shared" ca="1" si="249"/>
        <v>6.9635416666666785</v>
      </c>
      <c r="CV266" s="23">
        <f t="shared" ca="1" si="250"/>
        <v>4.1781250000000068</v>
      </c>
      <c r="CW266" s="23">
        <f t="shared" ca="1" si="251"/>
        <v>2.3211805555555594</v>
      </c>
      <c r="CX266" s="23">
        <f t="shared" ca="1" si="261"/>
        <v>1.2288602941176492</v>
      </c>
      <c r="CY266" s="23">
        <f t="shared" ca="1" si="262"/>
        <v>0.63304924242424354</v>
      </c>
      <c r="CZ266" s="23">
        <f t="shared" ca="1" si="263"/>
        <v>0.32139423076923129</v>
      </c>
      <c r="DA266" s="24">
        <f t="shared" ca="1" si="264"/>
        <v>-0.32139423076923129</v>
      </c>
      <c r="DB266" s="24">
        <f t="shared" ca="1" si="265"/>
        <v>-0.63304924242424354</v>
      </c>
      <c r="DC266" s="24">
        <f t="shared" ca="1" si="266"/>
        <v>-1.2288602941176492</v>
      </c>
      <c r="DD266" s="24">
        <f t="shared" ca="1" si="252"/>
        <v>-2.3211805555555594</v>
      </c>
      <c r="DE266" s="24">
        <f t="shared" ca="1" si="253"/>
        <v>-4.1781250000000068</v>
      </c>
      <c r="DF266" s="24">
        <f t="shared" ca="1" si="254"/>
        <v>-6.9635416666666785</v>
      </c>
      <c r="DG266" s="24">
        <f t="shared" ca="1" si="255"/>
        <v>-10.445312500000018</v>
      </c>
      <c r="DI266" s="19" cm="1">
        <f t="array" aca="1" ref="DI266" ca="1">MAX(_xlfn._xlws.FILTER(CT266:DG266,CT266:DG266&lt;BP266))</f>
        <v>-0.32139423076923129</v>
      </c>
      <c r="DJ266" s="19" cm="1">
        <f t="array" aca="1" ref="DJ266" ca="1">MIN(_xlfn._xlws.FILTER(CT266:DG266,CT266:DG266&gt;BP266))</f>
        <v>0.32139423076923129</v>
      </c>
      <c r="DK266" s="2" cm="1">
        <f t="array" aca="1" ref="DK266" ca="1">_FV(EH266,"Fechamento anterior",TRUE)</f>
        <v>4.03</v>
      </c>
      <c r="DL266" s="36">
        <f ca="1">(BJ266-DM266)/(DN266-DM266)</f>
        <v>0.56562598016744259</v>
      </c>
      <c r="DM266" s="18">
        <f t="shared" ca="1" si="243"/>
        <v>2.7347812499999984</v>
      </c>
      <c r="DN266" s="18">
        <f t="shared" ca="1" si="244"/>
        <v>5.3252187500000021</v>
      </c>
      <c r="DO266" s="9"/>
      <c r="DP266" s="9"/>
      <c r="DQ266" s="94">
        <v>0.24201183431952716</v>
      </c>
      <c r="DR266" s="94">
        <v>0.25230769230769229</v>
      </c>
      <c r="DS266" s="94">
        <v>0.25964172813487896</v>
      </c>
      <c r="DT266" s="94">
        <f t="shared" ca="1" si="256"/>
        <v>0.64278846153846259</v>
      </c>
      <c r="DU266" s="87">
        <f ca="1">(BJ266-CF266)/(CF266-CE266)</f>
        <v>0.51475726473500616</v>
      </c>
      <c r="DV266" s="46"/>
      <c r="DW266" s="43">
        <f>_xlfn.STDEV.P(BF266:BI266)</f>
        <v>0.44195588015094883</v>
      </c>
      <c r="DX266" s="76">
        <f ca="1">BO266-$DT$2</f>
        <v>0.24459999999999993</v>
      </c>
      <c r="DY266" s="76">
        <f ca="1">BO266-BP266*100</f>
        <v>-2.9767000000000001</v>
      </c>
      <c r="DZ266" s="101"/>
      <c r="EA266" s="100">
        <v>-3.2446000000000002</v>
      </c>
      <c r="EB266" s="107">
        <v>-9.5849000000000011</v>
      </c>
      <c r="EC266" s="107">
        <v>-3.8666999999999998</v>
      </c>
      <c r="ED266" s="98">
        <f t="shared" ca="1" si="224"/>
        <v>3.2213000000000003</v>
      </c>
      <c r="EE266" s="66"/>
      <c r="EF266" s="66"/>
      <c r="EH266" s="2" t="e" vm="268">
        <v>#VALUE!</v>
      </c>
      <c r="EJ266" s="10" cm="1">
        <f t="array" aca="1" ref="EJ266" ca="1">_FV(EH266,"Ações em circulação",TRUE)</f>
        <v>5783210</v>
      </c>
      <c r="EK266" s="21">
        <f>VLOOKUP(BK266,Fundamentus!A:U,5,FALSE)</f>
        <v>0.03</v>
      </c>
      <c r="EL266" s="2">
        <f ca="1">(BJ266*EJ266)/EK266</f>
        <v>809649400</v>
      </c>
      <c r="EM266" s="20">
        <v>-20121137.005666669</v>
      </c>
      <c r="EN266" s="20">
        <f t="shared" ca="1" si="257"/>
        <v>-20969919.460000001</v>
      </c>
      <c r="EP266" s="19">
        <f t="shared" ca="1" si="242"/>
        <v>4.2183622828783962E-2</v>
      </c>
      <c r="EQ266" s="40" t="str">
        <f>IF(VLOOKUP(BK266,Fundamentus!A:U,3,FALSE)&lt;15,"Bom",IF(VLOOKUP(BK266,Fundamentus!A:U,3,FALSE)&gt;15,"Ruim","n/a"))</f>
        <v>Bom</v>
      </c>
      <c r="ER266" s="36" t="str">
        <f>IF(VLOOKUP(BK266,Fundamentus!A:U,4,FALSE)&lt;1,"Baixo",IF(VLOOKUP(BK266,Fundamentus!A:U,4,FALSE)&lt;1.5,"Moderado",IF(VLOOKUP(BK266,Fundamentus!A:U,4,FALSE)&gt;1.5,"Alto","n/a")))</f>
        <v>Alto</v>
      </c>
      <c r="ES266" s="20" t="str">
        <f>IF(VLOOKUP(BK266,Fundamentus!A:U,8,FALSE)&lt;0,"Risco elevado",IF(VLOOKUP(BK266,Fundamentus!A:U,8,FALSE)&lt;1,"Saudável",IF(VLOOKUP(BK266,Fundamentus!A:U,8,FALSE)&lt;3,"Estável",IF(VLOOKUP(BK266,Fundamentus!A:U,8,FALSE)&gt;3,"Alerta","n/a"))))</f>
        <v>Saudável</v>
      </c>
      <c r="ET266" s="36" t="str">
        <f t="shared" si="258"/>
        <v>Ruim</v>
      </c>
      <c r="EU266" s="20" t="str">
        <f>IF(VLOOKUP(BK266,Fundamentus!A:U,12,FALSE)&lt;2,"Subvalorizada",IF(VLOOKUP(BK266,Fundamentus!A:U,12,FALSE)&lt;6,"Muita barata",IF(VLOOKUP(BK266,Fundamentus!A:U,12,FALSE)&lt;6,"Barata",IF(VLOOKUP(BK266,Fundamentus!A:U,12,FALSE)&lt;8,"Atrativa",IF(VLOOKUP(BK266,Fundamentus!A:U,12,FALSE)&gt;8,"Supervalorizada","n/a")))))</f>
        <v>Atrativa</v>
      </c>
      <c r="EW266" s="20" t="str">
        <f>IF(VLOOKUP(BK266,Fundamentus!A:U,17,FALSE)&lt;0.1,"Fraco retorno",IF(VLOOKUP(BK266,Fundamentus!A:U,17,FALSE)&gt;0.1,"Bom retorno","n/a"))</f>
        <v>Fraco retorno</v>
      </c>
      <c r="EX266" s="20" t="str">
        <f>IF(VLOOKUP(BK266,Fundamentus!A:U,16,FALSE)&lt;0.1,"Ineficiente",IF(VLOOKUP(BK266,Fundamentus!A:U,16,FALSE)&gt;0.1,"Eficiente","n/a"))</f>
        <v>Eficiente</v>
      </c>
      <c r="EY266" s="41" t="str">
        <f>IF(VLOOKUP(BK266,Fundamentus!A:U,16,FALSE)&lt;0.1,"Oper. Ineficiente",IF(VLOOKUP(BK266,Fundamentus!A:U,16,FALSE)&gt;0.1,"Oper.Eficiente","n/a"))</f>
        <v>Oper.Eficiente</v>
      </c>
      <c r="EZ266" s="42">
        <f>VLOOKUP(BK266,Fundamentus!A:U,14,FALSE)</f>
        <v>-2.5899999999999999E-2</v>
      </c>
      <c r="FA266" s="20" t="str">
        <f>IF(VLOOKUP(BK266,Fundamentus!A:U,21,FALSE)&lt;0,"Negativo",IF(VLOOKUP(BK266,Fundamentus!A:U,21,FALSE)&lt;0.05,"Fraco",IF(VLOOKUP(BK266,Fundamentus!A:U,21,FALSE)&lt;0.1,"Bom",IF(VLOOKUP(BK266,Fundamentus!A:U,21,FALSE)&gt;0.1,"Muito bom","n/a"))))</f>
        <v>Bom</v>
      </c>
      <c r="FC266" s="37" t="str">
        <f>IF(VLOOKUP(BK266,Fundamentus!A:U,15,FALSE)&gt;1,"Bom",IF(VLOOKUP(BK266,Fundamentus!A:U,15,FALSE)&lt;1,"Ruim","n/a"))</f>
        <v>Bom</v>
      </c>
      <c r="FD266" s="20" t="str">
        <f>IF(VLOOKUP(BK266,Fundamentus!A:U,20,FALSE)&lt;0.5,"Baixa",IF(VLOOKUP(BK266,Fundamentus!A:U,20,FALSE)&lt;1,"Moderada",IF(VLOOKUP(BK266,Fundamentus!A:U,20,FALSE)&lt;2,"Alerta",IF(VLOOKUP(BK266,Fundamentus!A:U,20,FALSE)&gt;2,"Alta","n/a"))))</f>
        <v>Alta</v>
      </c>
    </row>
    <row r="267" spans="1:160" s="2" customFormat="1" ht="11.25" hidden="1"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8">
        <v>2.63</v>
      </c>
      <c r="BC267" s="62">
        <v>2.88</v>
      </c>
      <c r="BD267" s="62">
        <v>2.79</v>
      </c>
      <c r="BE267" s="62">
        <v>2.72</v>
      </c>
      <c r="BF267" s="62">
        <v>2.6</v>
      </c>
      <c r="BG267" s="81">
        <v>2.5</v>
      </c>
      <c r="BH267" s="62">
        <v>2.41</v>
      </c>
      <c r="BI267" s="62">
        <v>2.33</v>
      </c>
      <c r="BJ267" s="62" cm="1">
        <f t="array" aca="1" ref="BJ267" ca="1">_FV(EH267,"Preço")</f>
        <v>2.39</v>
      </c>
      <c r="BK267" s="83" t="s">
        <v>263</v>
      </c>
      <c r="BL267" s="44" cm="1">
        <f t="array" aca="1" ref="BL267" ca="1">_FV(EH267,"Média de volume",TRUE)</f>
        <v>2509250</v>
      </c>
      <c r="BM267" s="44">
        <v>232300</v>
      </c>
      <c r="BN267" s="44" cm="1">
        <f t="array" aca="1" ref="BN267" ca="1">_FV(EH267,"Volume")</f>
        <v>366700</v>
      </c>
      <c r="BO267" s="32" cm="1">
        <f t="array" aca="1" ref="BO267" ca="1">_FV(EH267,"Beta")</f>
        <v>1.3727</v>
      </c>
      <c r="BP267" s="86" cm="1">
        <f t="array" aca="1" ref="BP267" ca="1">_FV(EH267,"Variação (%)",TRUE)</f>
        <v>2.5751E-2</v>
      </c>
      <c r="BQ267" s="48"/>
      <c r="BR267" s="48"/>
      <c r="BT267" s="20" cm="1">
        <f t="array" aca="1" ref="BT267" ca="1">_FV(EH267,"Baixo")</f>
        <v>2.35</v>
      </c>
      <c r="BU267" s="20" cm="1">
        <f t="array" aca="1" ref="BU267" ca="1">_FV(EH267,"Alto")</f>
        <v>2.4500000000000002</v>
      </c>
      <c r="BV267" s="32"/>
      <c r="BW267" s="73">
        <f ca="1">SQRT(22.5*(BJ267/VLOOKUP(BK267,Fundamentus!A:U,3,FALSE))*(BJ267/VLOOKUP(BK267,Fundamentus!A:U,4,FALSE)))</f>
        <v>2.7352071317246409</v>
      </c>
      <c r="BY267" s="72">
        <f t="shared" ca="1" si="245"/>
        <v>2.5751072961373411E-2</v>
      </c>
      <c r="BZ267" s="8"/>
      <c r="CA267" s="71">
        <f t="shared" si="205"/>
        <v>1.61</v>
      </c>
      <c r="CB267" s="71">
        <f t="shared" si="246"/>
        <v>7.56</v>
      </c>
      <c r="CC267" s="71">
        <f t="shared" si="206"/>
        <v>3.6536065573770489</v>
      </c>
      <c r="CD267" s="17"/>
      <c r="CE267" s="43">
        <f t="shared" si="259"/>
        <v>2.0335055832039148</v>
      </c>
      <c r="CF267" s="18">
        <f>FORECAST("04/07/2025", BF267:BI267, $BF$5:$BI$5)</f>
        <v>2.2350000000000136</v>
      </c>
      <c r="CG267" s="43">
        <f t="shared" si="260"/>
        <v>2.4364944167961124</v>
      </c>
      <c r="CI267" s="17"/>
      <c r="CJ267" s="20">
        <f>CA267-2*(CB267-CM267)</f>
        <v>-5.8433333333333319</v>
      </c>
      <c r="CK267" s="20">
        <f>CM267-(CB267-CA267)</f>
        <v>-2.1166666666666658</v>
      </c>
      <c r="CL267" s="20">
        <f>2*CM267-CB267</f>
        <v>0.10666666666666735</v>
      </c>
      <c r="CM267" s="48">
        <f>(CB267+CA267+BI267)/3</f>
        <v>3.8333333333333335</v>
      </c>
      <c r="CN267" s="20">
        <f>2*CM267-CA267</f>
        <v>6.0566666666666666</v>
      </c>
      <c r="CO267" s="20">
        <f>CM267+(CB267-CA267)</f>
        <v>9.7833333333333332</v>
      </c>
      <c r="CP267" s="20">
        <f>CB267+2*(CM267-CA267)</f>
        <v>12.006666666666668</v>
      </c>
      <c r="CQ267" s="2" cm="1">
        <f t="array" aca="1" ref="CQ267" ca="1">MAX(_xlfn._xlws.FILTER(CJ267:CP267,CJ267:CP267&lt;BJ267))</f>
        <v>0.10666666666666735</v>
      </c>
      <c r="CR267" s="2" cm="1">
        <f t="array" aca="1" ref="CR267" ca="1">MIN(_xlfn._xlws.FILTER($CJ267:$CP267,$CJ267:$CP267&gt;BJ267))</f>
        <v>3.8333333333333335</v>
      </c>
      <c r="CS267" s="19">
        <f t="shared" ca="1" si="247"/>
        <v>34.937499999999773</v>
      </c>
      <c r="CT267" s="23">
        <f t="shared" ca="1" si="248"/>
        <v>-17.468749999999886</v>
      </c>
      <c r="CU267" s="23">
        <f t="shared" ca="1" si="249"/>
        <v>-11.645833333333258</v>
      </c>
      <c r="CV267" s="23">
        <f t="shared" ca="1" si="250"/>
        <v>-6.9874999999999545</v>
      </c>
      <c r="CW267" s="23">
        <f t="shared" ca="1" si="251"/>
        <v>-3.8819444444444193</v>
      </c>
      <c r="CX267" s="23">
        <f t="shared" ca="1" si="261"/>
        <v>-2.0551470588235161</v>
      </c>
      <c r="CY267" s="23">
        <f t="shared" ca="1" si="262"/>
        <v>-1.0587121212121142</v>
      </c>
      <c r="CZ267" s="23">
        <f t="shared" ca="1" si="263"/>
        <v>-0.53749999999999654</v>
      </c>
      <c r="DA267" s="24">
        <f t="shared" ca="1" si="264"/>
        <v>0.53749999999999654</v>
      </c>
      <c r="DB267" s="24">
        <f t="shared" ca="1" si="265"/>
        <v>1.0587121212121142</v>
      </c>
      <c r="DC267" s="24">
        <f t="shared" ca="1" si="266"/>
        <v>2.0551470588235161</v>
      </c>
      <c r="DD267" s="24">
        <f t="shared" ca="1" si="252"/>
        <v>3.8819444444444193</v>
      </c>
      <c r="DE267" s="24">
        <f t="shared" ca="1" si="253"/>
        <v>6.9874999999999545</v>
      </c>
      <c r="DF267" s="24">
        <f t="shared" ca="1" si="254"/>
        <v>11.645833333333258</v>
      </c>
      <c r="DG267" s="24">
        <f t="shared" ca="1" si="255"/>
        <v>17.468749999999886</v>
      </c>
      <c r="DI267" s="19" cm="1">
        <f t="array" aca="1" ref="DI267" ca="1">MAX(_xlfn._xlws.FILTER(CT267:DG267,CT267:DG267&lt;BP267))</f>
        <v>-0.53749999999999654</v>
      </c>
      <c r="DJ267" s="19" cm="1">
        <f t="array" aca="1" ref="DJ267" ca="1">MIN(_xlfn._xlws.FILTER(CT267:DG267,CT267:DG267&gt;BP267))</f>
        <v>0.53749999999999654</v>
      </c>
      <c r="DK267" s="2" cm="1">
        <f t="array" aca="1" ref="DK267" ca="1">_FV(EH267,"Fechamento anterior",TRUE)</f>
        <v>2.33</v>
      </c>
      <c r="DL267" s="36">
        <f ca="1">(BJ267-DM267)/(DN267-DM267)</f>
        <v>0.52395448647569642</v>
      </c>
      <c r="DM267" s="18">
        <f t="shared" ca="1" si="243"/>
        <v>1.077625000000008</v>
      </c>
      <c r="DN267" s="18">
        <f t="shared" ca="1" si="244"/>
        <v>3.5823749999999919</v>
      </c>
      <c r="DO267" s="9"/>
      <c r="DP267" s="9"/>
      <c r="DQ267" s="94">
        <v>0.32692307692307715</v>
      </c>
      <c r="DR267" s="94">
        <v>0.32692307692307715</v>
      </c>
      <c r="DS267" s="94">
        <v>0.51328671328671172</v>
      </c>
      <c r="DT267" s="94">
        <f t="shared" ca="1" si="256"/>
        <v>1.0749999999999931</v>
      </c>
      <c r="DU267" s="87">
        <f ca="1">(BJ267-CF267)/(CF267-CE267)</f>
        <v>0.76925208382740395</v>
      </c>
      <c r="DV267" s="46"/>
      <c r="DW267" s="43">
        <f>_xlfn.STDEV.P(BF267:BI267)</f>
        <v>0.1007472083980494</v>
      </c>
      <c r="DX267" s="76">
        <f ca="1">BO267-$DT$2</f>
        <v>0.37559999999999993</v>
      </c>
      <c r="DY267" s="76">
        <f ca="1">BO267-BP267*100</f>
        <v>-1.2023999999999999</v>
      </c>
      <c r="DZ267" s="101"/>
      <c r="EA267" s="100">
        <v>-2.1012999999999997</v>
      </c>
      <c r="EB267" s="107">
        <v>1.2399999999999967E-2</v>
      </c>
      <c r="EC267" s="107">
        <v>-1.5069000000000001</v>
      </c>
      <c r="ED267" s="98">
        <f t="shared" ca="1" si="224"/>
        <v>1.5779999999999998</v>
      </c>
      <c r="EE267" s="66"/>
      <c r="EF267" s="66"/>
      <c r="EH267" s="2" t="e" vm="269">
        <v>#VALUE!</v>
      </c>
      <c r="EJ267" s="10" cm="1">
        <f t="array" aca="1" ref="EJ267" ca="1">_FV(EH267,"Ações em circulação",TRUE)</f>
        <v>31822290</v>
      </c>
      <c r="EK267" s="21">
        <f>VLOOKUP(BK267,Fundamentus!A:U,5,FALSE)</f>
        <v>7.2960000000000003</v>
      </c>
      <c r="EL267" s="2">
        <f ca="1">(BJ267*EJ267)/EK267</f>
        <v>10424242.475328948</v>
      </c>
      <c r="EM267" s="20">
        <v>-18966359.621287011</v>
      </c>
      <c r="EN267" s="20">
        <f t="shared" ca="1" si="257"/>
        <v>-19454763.731706418</v>
      </c>
      <c r="EP267" s="19">
        <f t="shared" ca="1" si="242"/>
        <v>2.5751072961373467E-2</v>
      </c>
      <c r="EQ267" s="40" t="str">
        <f>IF(VLOOKUP(BK267,Fundamentus!A:U,3,FALSE)&lt;15,"Bom",IF(VLOOKUP(BK267,Fundamentus!A:U,3,FALSE)&gt;15,"Ruim","n/a"))</f>
        <v>Bom</v>
      </c>
      <c r="ER267" s="36" t="str">
        <f>IF(VLOOKUP(BK267,Fundamentus!A:U,4,FALSE)&lt;1,"Baixo",IF(VLOOKUP(BK267,Fundamentus!A:U,4,FALSE)&lt;1.5,"Moderado",IF(VLOOKUP(BK267,Fundamentus!A:U,4,FALSE)&gt;1.5,"Alto","n/a")))</f>
        <v>Baixo</v>
      </c>
      <c r="ES267" s="20" t="str">
        <f>IF(VLOOKUP(BK267,Fundamentus!A:U,8,FALSE)&lt;0,"Risco elevado",IF(VLOOKUP(BK267,Fundamentus!A:U,8,FALSE)&lt;1,"Saudável",IF(VLOOKUP(BK267,Fundamentus!A:U,8,FALSE)&lt;3,"Estável",IF(VLOOKUP(BK267,Fundamentus!A:U,8,FALSE)&gt;3,"Alerta","n/a"))))</f>
        <v>Risco elevado</v>
      </c>
      <c r="ET267" s="36" t="str">
        <f t="shared" si="258"/>
        <v>Bom</v>
      </c>
      <c r="EU267" s="20" t="str">
        <f>IF(VLOOKUP(BK267,Fundamentus!A:U,12,FALSE)&lt;2,"Subvalorizada",IF(VLOOKUP(BK267,Fundamentus!A:U,12,FALSE)&lt;6,"Muita barata",IF(VLOOKUP(BK267,Fundamentus!A:U,12,FALSE)&lt;6,"Barata",IF(VLOOKUP(BK267,Fundamentus!A:U,12,FALSE)&lt;8,"Atrativa",IF(VLOOKUP(BK267,Fundamentus!A:U,12,FALSE)&gt;8,"Supervalorizada","n/a")))))</f>
        <v>Subvalorizada</v>
      </c>
      <c r="EW267" s="20" t="str">
        <f>IF(VLOOKUP(BK267,Fundamentus!A:U,17,FALSE)&lt;0.1,"Fraco retorno",IF(VLOOKUP(BK267,Fundamentus!A:U,17,FALSE)&gt;0.1,"Bom retorno","n/a"))</f>
        <v>Bom retorno</v>
      </c>
      <c r="EX267" s="20" t="str">
        <f>IF(VLOOKUP(BK267,Fundamentus!A:U,16,FALSE)&lt;0.1,"Ineficiente",IF(VLOOKUP(BK267,Fundamentus!A:U,16,FALSE)&gt;0.1,"Eficiente","n/a"))</f>
        <v>Ineficiente</v>
      </c>
      <c r="EY267" s="41" t="str">
        <f>IF(VLOOKUP(BK267,Fundamentus!A:U,16,FALSE)&lt;0.1,"Oper. Ineficiente",IF(VLOOKUP(BK267,Fundamentus!A:U,16,FALSE)&gt;0.1,"Oper.Eficiente","n/a"))</f>
        <v>Oper. Ineficiente</v>
      </c>
      <c r="EZ267" s="42">
        <f>VLOOKUP(BK267,Fundamentus!A:U,14,FALSE)</f>
        <v>-1.8663000000000001</v>
      </c>
      <c r="FA267" s="20" t="str">
        <f>IF(VLOOKUP(BK267,Fundamentus!A:U,21,FALSE)&lt;0,"Negativo",IF(VLOOKUP(BK267,Fundamentus!A:U,21,FALSE)&lt;0.05,"Fraco",IF(VLOOKUP(BK267,Fundamentus!A:U,21,FALSE)&lt;0.1,"Bom",IF(VLOOKUP(BK267,Fundamentus!A:U,21,FALSE)&gt;0.1,"Muito bom","n/a"))))</f>
        <v>Negativo</v>
      </c>
      <c r="FC267" s="37" t="str">
        <f>IF(VLOOKUP(BK267,Fundamentus!A:U,15,FALSE)&gt;1,"Bom",IF(VLOOKUP(BK267,Fundamentus!A:U,15,FALSE)&lt;1,"Ruim","n/a"))</f>
        <v>Ruim</v>
      </c>
      <c r="FD267" s="20" t="str">
        <f>IF(VLOOKUP(BK267,Fundamentus!A:U,20,FALSE)&lt;0.5,"Baixa",IF(VLOOKUP(BK267,Fundamentus!A:U,20,FALSE)&lt;1,"Moderada",IF(VLOOKUP(BK267,Fundamentus!A:U,20,FALSE)&lt;2,"Alerta",IF(VLOOKUP(BK267,Fundamentus!A:U,20,FALSE)&gt;2,"Alta","n/a"))))</f>
        <v>Baixa</v>
      </c>
    </row>
    <row r="268" spans="1:160" s="2" customFormat="1" ht="11.25" hidden="1"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8">
        <v>4.53</v>
      </c>
      <c r="BC268" s="62">
        <v>4.59</v>
      </c>
      <c r="BD268" s="62">
        <v>4.33</v>
      </c>
      <c r="BE268" s="62">
        <v>4.9000000000000004</v>
      </c>
      <c r="BF268" s="62">
        <v>5.04</v>
      </c>
      <c r="BG268" s="81">
        <v>5</v>
      </c>
      <c r="BH268" s="62">
        <v>4</v>
      </c>
      <c r="BI268" s="62">
        <v>3.64</v>
      </c>
      <c r="BJ268" s="62" cm="1">
        <f t="array" aca="1" ref="BJ268" ca="1">_FV(EH268,"Preço")</f>
        <v>3.42</v>
      </c>
      <c r="BK268" s="83" t="s">
        <v>264</v>
      </c>
      <c r="BL268" s="44" cm="1">
        <f t="array" aca="1" ref="BL268" ca="1">_FV(EH268,"Média de volume",TRUE)</f>
        <v>1990180</v>
      </c>
      <c r="BM268" s="44">
        <v>1280100</v>
      </c>
      <c r="BN268" s="44" cm="1">
        <f t="array" aca="1" ref="BN268" ca="1">_FV(EH268,"Volume")</f>
        <v>7662100</v>
      </c>
      <c r="BO268" s="32" cm="1">
        <f t="array" aca="1" ref="BO268" ca="1">_FV(EH268,"Beta")</f>
        <v>1.4379999999999999</v>
      </c>
      <c r="BP268" s="86" cm="1">
        <f t="array" aca="1" ref="BP268" ca="1">_FV(EH268,"Variação (%)",TRUE)</f>
        <v>-6.0439999999999994E-2</v>
      </c>
      <c r="BQ268" s="48"/>
      <c r="BR268" s="48"/>
      <c r="BT268" s="20" cm="1">
        <f t="array" aca="1" ref="BT268" ca="1">_FV(EH268,"Baixo")</f>
        <v>3.37</v>
      </c>
      <c r="BU268" s="20" cm="1">
        <f t="array" aca="1" ref="BU268" ca="1">_FV(EH268,"Alto")</f>
        <v>3.69</v>
      </c>
      <c r="BV268" s="32"/>
      <c r="BW268" s="73">
        <f ca="1">SQRT(22.5*(BJ268/VLOOKUP(BK268,Fundamentus!A:U,3,FALSE))*(BJ268/VLOOKUP(BK268,Fundamentus!A:U,4,FALSE)))</f>
        <v>3.8004170782583078</v>
      </c>
      <c r="BY268" s="72">
        <f t="shared" ca="1" si="245"/>
        <v>-6.0439560439560489E-2</v>
      </c>
      <c r="BZ268" s="8"/>
      <c r="CA268" s="71">
        <f t="shared" si="205"/>
        <v>3.64</v>
      </c>
      <c r="CB268" s="71">
        <f t="shared" si="246"/>
        <v>11.07</v>
      </c>
      <c r="CC268" s="71">
        <f t="shared" si="206"/>
        <v>6.9155737704918021</v>
      </c>
      <c r="CD268" s="17"/>
      <c r="CE268" s="43">
        <f t="shared" si="259"/>
        <v>1.8929710679856531</v>
      </c>
      <c r="CF268" s="18">
        <f>FORECAST("04/07/2025", BF268:BI268, $BF$5:$BI$5)</f>
        <v>3.1199999999998909</v>
      </c>
      <c r="CG268" s="43">
        <f t="shared" si="260"/>
        <v>4.3470289320141289</v>
      </c>
      <c r="CI268" s="17"/>
      <c r="CJ268" s="20">
        <f>CA268-2*(CB268-CM268)</f>
        <v>-6.2666666666666657</v>
      </c>
      <c r="CK268" s="20">
        <f>CM268-(CB268-CA268)</f>
        <v>-1.3133333333333326</v>
      </c>
      <c r="CL268" s="20">
        <f>2*CM268-CB268</f>
        <v>1.163333333333334</v>
      </c>
      <c r="CM268" s="48">
        <f>(CB268+CA268+BI268)/3</f>
        <v>6.1166666666666671</v>
      </c>
      <c r="CN268" s="20">
        <f>2*CM268-CA268</f>
        <v>8.5933333333333337</v>
      </c>
      <c r="CO268" s="20">
        <f>CM268+(CB268-CA268)</f>
        <v>13.546666666666667</v>
      </c>
      <c r="CP268" s="20">
        <f>CB268+2*(CM268-CA268)</f>
        <v>16.023333333333333</v>
      </c>
      <c r="CQ268" s="2" cm="1">
        <f t="array" aca="1" ref="CQ268" ca="1">MAX(_xlfn._xlws.FILTER(CJ268:CP268,CJ268:CP268&lt;BJ268))</f>
        <v>1.163333333333334</v>
      </c>
      <c r="CR268" s="2" cm="1">
        <f t="array" aca="1" ref="CR268" ca="1">MIN(_xlfn._xlws.FILTER($CJ268:$CP268,$CJ268:$CP268&gt;BJ268))</f>
        <v>6.1166666666666671</v>
      </c>
      <c r="CS268" s="19">
        <f t="shared" ca="1" si="247"/>
        <v>4.2578796561604557</v>
      </c>
      <c r="CT268" s="23">
        <f t="shared" ca="1" si="248"/>
        <v>-2.1289398280802279</v>
      </c>
      <c r="CU268" s="23">
        <f t="shared" ca="1" si="249"/>
        <v>-1.4192932187201519</v>
      </c>
      <c r="CV268" s="23">
        <f t="shared" ca="1" si="250"/>
        <v>-0.85157593123209119</v>
      </c>
      <c r="CW268" s="23">
        <f t="shared" ca="1" si="251"/>
        <v>-0.47309773957338397</v>
      </c>
      <c r="CX268" s="23">
        <f t="shared" ca="1" si="261"/>
        <v>-0.25046350918590915</v>
      </c>
      <c r="CY268" s="23">
        <f t="shared" ca="1" si="262"/>
        <v>-0.12902665624728654</v>
      </c>
      <c r="CZ268" s="23">
        <f t="shared" ca="1" si="263"/>
        <v>-6.5505840864007014E-2</v>
      </c>
      <c r="DA268" s="24">
        <f t="shared" ca="1" si="264"/>
        <v>6.5505840864007014E-2</v>
      </c>
      <c r="DB268" s="24">
        <f t="shared" ca="1" si="265"/>
        <v>0.12902665624728654</v>
      </c>
      <c r="DC268" s="24">
        <f t="shared" ca="1" si="266"/>
        <v>0.25046350918590915</v>
      </c>
      <c r="DD268" s="24">
        <f t="shared" ca="1" si="252"/>
        <v>0.47309773957338397</v>
      </c>
      <c r="DE268" s="24">
        <f t="shared" ca="1" si="253"/>
        <v>0.85157593123209119</v>
      </c>
      <c r="DF268" s="24">
        <f t="shared" ca="1" si="254"/>
        <v>1.4192932187201519</v>
      </c>
      <c r="DG268" s="24">
        <f t="shared" ca="1" si="255"/>
        <v>2.1289398280802279</v>
      </c>
      <c r="DI268" s="19" cm="1">
        <f t="array" aca="1" ref="DI268" ca="1">MAX(_xlfn._xlws.FILTER(CT268:DG268,CT268:DG268&lt;BP268))</f>
        <v>-6.5505840864007014E-2</v>
      </c>
      <c r="DJ268" s="19" cm="1">
        <f t="array" aca="1" ref="DJ268" ca="1">MIN(_xlfn._xlws.FILTER(CT268:DG268,CT268:DG268&gt;BP268))</f>
        <v>6.5505840864007014E-2</v>
      </c>
      <c r="DK268" s="2" cm="1">
        <f t="array" aca="1" ref="DK268" ca="1">_FV(EH268,"Fechamento anterior",TRUE)</f>
        <v>3.64</v>
      </c>
      <c r="DL268" s="36">
        <f ca="1">(BJ268-DM268)/(DN268-DM268)</f>
        <v>3.8670447990770275E-2</v>
      </c>
      <c r="DM268" s="18">
        <f t="shared" ca="1" si="243"/>
        <v>3.4015587392550146</v>
      </c>
      <c r="DN268" s="18">
        <f t="shared" ca="1" si="244"/>
        <v>3.8784412607449856</v>
      </c>
      <c r="DO268" s="9"/>
      <c r="DP268" s="9"/>
      <c r="DQ268" s="94">
        <v>9.4579246257098584E-2</v>
      </c>
      <c r="DR268" s="94">
        <v>9.4579246257098584E-2</v>
      </c>
      <c r="DS268" s="94">
        <v>5.8555048424802365E-2</v>
      </c>
      <c r="DT268" s="94">
        <f t="shared" ca="1" si="256"/>
        <v>0.13101168172801403</v>
      </c>
      <c r="DU268" s="87">
        <f ca="1">(BJ268-CF268)/(CF268-CE268)</f>
        <v>0.24449301248964195</v>
      </c>
      <c r="DV268" s="46"/>
      <c r="DW268" s="43">
        <f>_xlfn.STDEV.P(BF268:BI268)</f>
        <v>0.6135144660071189</v>
      </c>
      <c r="DX268" s="76">
        <f ca="1">BO268-$DT$2</f>
        <v>0.44089999999999985</v>
      </c>
      <c r="DY268" s="76">
        <f ca="1">BO268-BP268*100</f>
        <v>7.4819999999999993</v>
      </c>
      <c r="DZ268" s="101"/>
      <c r="EA268" s="100">
        <v>-8.8316999999999997</v>
      </c>
      <c r="EB268" s="107">
        <v>-3.0642999999999994</v>
      </c>
      <c r="EC268" s="107">
        <v>-3.2674000000000003</v>
      </c>
      <c r="ED268" s="98">
        <f t="shared" ca="1" si="224"/>
        <v>-7.0410999999999992</v>
      </c>
      <c r="EE268" s="66"/>
      <c r="EF268" s="66"/>
      <c r="EH268" s="2" t="e" vm="270">
        <v>#VALUE!</v>
      </c>
      <c r="EJ268" s="10" cm="1">
        <f t="array" aca="1" ref="EJ268" ca="1">_FV(EH268,"Ações em circulação",TRUE)</f>
        <v>346494100</v>
      </c>
      <c r="EK268" s="21">
        <f>VLOOKUP(BK268,Fundamentus!A:U,5,FALSE)</f>
        <v>0.95299999999999996</v>
      </c>
      <c r="EL268" s="2">
        <f ca="1">(BJ268*EJ268)/EK268</f>
        <v>1243452069.2549844</v>
      </c>
      <c r="EM268" s="20">
        <v>94758319.326757595</v>
      </c>
      <c r="EN268" s="20">
        <f t="shared" ca="1" si="257"/>
        <v>89031168.15865688</v>
      </c>
      <c r="EP268" s="19">
        <f t="shared" ca="1" si="242"/>
        <v>-6.0439560439560225E-2</v>
      </c>
      <c r="EQ268" s="40" t="str">
        <f>IF(VLOOKUP(BK268,Fundamentus!A:U,3,FALSE)&lt;15,"Bom",IF(VLOOKUP(BK268,Fundamentus!A:U,3,FALSE)&gt;15,"Ruim","n/a"))</f>
        <v>Bom</v>
      </c>
      <c r="ER268" s="36" t="str">
        <f>IF(VLOOKUP(BK268,Fundamentus!A:U,4,FALSE)&lt;1,"Baixo",IF(VLOOKUP(BK268,Fundamentus!A:U,4,FALSE)&lt;1.5,"Moderado",IF(VLOOKUP(BK268,Fundamentus!A:U,4,FALSE)&gt;1.5,"Alto","n/a")))</f>
        <v>Moderado</v>
      </c>
      <c r="ES268" s="20" t="str">
        <f>IF(VLOOKUP(BK268,Fundamentus!A:U,8,FALSE)&lt;0,"Risco elevado",IF(VLOOKUP(BK268,Fundamentus!A:U,8,FALSE)&lt;1,"Saudável",IF(VLOOKUP(BK268,Fundamentus!A:U,8,FALSE)&lt;3,"Estável",IF(VLOOKUP(BK268,Fundamentus!A:U,8,FALSE)&gt;3,"Alerta","n/a"))))</f>
        <v>Estável</v>
      </c>
      <c r="ET268" s="36" t="str">
        <f t="shared" si="258"/>
        <v>Ruim</v>
      </c>
      <c r="EU268" s="20" t="str">
        <f>IF(VLOOKUP(BK268,Fundamentus!A:U,12,FALSE)&lt;2,"Subvalorizada",IF(VLOOKUP(BK268,Fundamentus!A:U,12,FALSE)&lt;6,"Muita barata",IF(VLOOKUP(BK268,Fundamentus!A:U,12,FALSE)&lt;6,"Barata",IF(VLOOKUP(BK268,Fundamentus!A:U,12,FALSE)&lt;8,"Atrativa",IF(VLOOKUP(BK268,Fundamentus!A:U,12,FALSE)&gt;8,"Supervalorizada","n/a")))))</f>
        <v>Muita barata</v>
      </c>
      <c r="EW268" s="20" t="str">
        <f>IF(VLOOKUP(BK268,Fundamentus!A:U,17,FALSE)&lt;0.1,"Fraco retorno",IF(VLOOKUP(BK268,Fundamentus!A:U,17,FALSE)&gt;0.1,"Bom retorno","n/a"))</f>
        <v>Bom retorno</v>
      </c>
      <c r="EX268" s="20" t="str">
        <f>IF(VLOOKUP(BK268,Fundamentus!A:U,16,FALSE)&lt;0.1,"Ineficiente",IF(VLOOKUP(BK268,Fundamentus!A:U,16,FALSE)&gt;0.1,"Eficiente","n/a"))</f>
        <v>Eficiente</v>
      </c>
      <c r="EY268" s="41" t="str">
        <f>IF(VLOOKUP(BK268,Fundamentus!A:U,16,FALSE)&lt;0.1,"Oper. Ineficiente",IF(VLOOKUP(BK268,Fundamentus!A:U,16,FALSE)&gt;0.1,"Oper.Eficiente","n/a"))</f>
        <v>Oper.Eficiente</v>
      </c>
      <c r="EZ268" s="42">
        <f>VLOOKUP(BK268,Fundamentus!A:U,14,FALSE)</f>
        <v>7.1599999999999997E-2</v>
      </c>
      <c r="FA268" s="20" t="str">
        <f>IF(VLOOKUP(BK268,Fundamentus!A:U,21,FALSE)&lt;0,"Negativo",IF(VLOOKUP(BK268,Fundamentus!A:U,21,FALSE)&lt;0.05,"Fraco",IF(VLOOKUP(BK268,Fundamentus!A:U,21,FALSE)&lt;0.1,"Bom",IF(VLOOKUP(BK268,Fundamentus!A:U,21,FALSE)&gt;0.1,"Muito bom","n/a"))))</f>
        <v>Muito bom</v>
      </c>
      <c r="FC268" s="37" t="str">
        <f>IF(VLOOKUP(BK268,Fundamentus!A:U,15,FALSE)&gt;1,"Bom",IF(VLOOKUP(BK268,Fundamentus!A:U,15,FALSE)&lt;1,"Ruim","n/a"))</f>
        <v>Bom</v>
      </c>
      <c r="FD268" s="20" t="str">
        <f>IF(VLOOKUP(BK268,Fundamentus!A:U,20,FALSE)&lt;0.5,"Baixa",IF(VLOOKUP(BK268,Fundamentus!A:U,20,FALSE)&lt;1,"Moderada",IF(VLOOKUP(BK268,Fundamentus!A:U,20,FALSE)&lt;2,"Alerta",IF(VLOOKUP(BK268,Fundamentus!A:U,20,FALSE)&gt;2,"Alta","n/a"))))</f>
        <v>Alerta</v>
      </c>
    </row>
    <row r="269" spans="1:160" s="5" customFormat="1" ht="11.25" hidden="1"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8">
        <v>1.18</v>
      </c>
      <c r="BC269" s="62">
        <v>1.2</v>
      </c>
      <c r="BD269" s="62">
        <v>1.27</v>
      </c>
      <c r="BE269" s="62">
        <v>1.26</v>
      </c>
      <c r="BF269" s="62">
        <v>1.25</v>
      </c>
      <c r="BG269" s="81">
        <v>1.19</v>
      </c>
      <c r="BH269" s="62">
        <v>1.18</v>
      </c>
      <c r="BI269" s="62">
        <v>1.17</v>
      </c>
      <c r="BJ269" s="62" cm="1">
        <f t="array" aca="1" ref="BJ269" ca="1">_FV(EH269,"Preço")</f>
        <v>1.17</v>
      </c>
      <c r="BK269" s="83" t="s">
        <v>265</v>
      </c>
      <c r="BL269" s="44" cm="1">
        <f t="array" aca="1" ref="BL269" ca="1">_FV(EH269,"Média de volume",TRUE)</f>
        <v>14550</v>
      </c>
      <c r="BM269" s="44">
        <v>200</v>
      </c>
      <c r="BN269" s="44" cm="1">
        <f t="array" aca="1" ref="BN269" ca="1">_FV(EH269,"Volume")</f>
        <v>200</v>
      </c>
      <c r="BO269" s="32" cm="1">
        <f t="array" aca="1" ref="BO269" ca="1">_FV(EH269,"Beta")</f>
        <v>1.597</v>
      </c>
      <c r="BP269" s="86" cm="1">
        <f t="array" aca="1" ref="BP269" ca="1">_FV(EH269,"Variação (%)",TRUE)</f>
        <v>3.5397999999999999E-2</v>
      </c>
      <c r="BQ269" s="48"/>
      <c r="BR269" s="48"/>
      <c r="BT269" s="20" cm="1">
        <f t="array" aca="1" ref="BT269" ca="1">_FV(EH269,"Baixo")</f>
        <v>1.1399999999999999</v>
      </c>
      <c r="BU269" s="20" cm="1">
        <f t="array" aca="1" ref="BU269" ca="1">_FV(EH269,"Alto")</f>
        <v>1.17</v>
      </c>
      <c r="BV269" s="32"/>
      <c r="BW269" s="73" t="e">
        <f ca="1">SQRT(22.5*(BJ269/VLOOKUP(BK269,Fundamentus!A:U,3,FALSE))*(BJ269/VLOOKUP(BK269,Fundamentus!A:U,4,FALSE)))</f>
        <v>#NUM!</v>
      </c>
      <c r="BY269" s="72">
        <f t="shared" ca="1" si="245"/>
        <v>0</v>
      </c>
      <c r="BZ269" s="8"/>
      <c r="CA269" s="71">
        <f t="shared" si="205"/>
        <v>1.1000000000000001</v>
      </c>
      <c r="CB269" s="71">
        <f t="shared" si="246"/>
        <v>2.38</v>
      </c>
      <c r="CC269" s="71">
        <f t="shared" si="206"/>
        <v>1.4550000000000003</v>
      </c>
      <c r="CD269" s="17"/>
      <c r="CE269" s="43">
        <f t="shared" si="259"/>
        <v>1.0727505020100472</v>
      </c>
      <c r="CF269" s="18">
        <f>FORECAST("04/07/2025", BF269:BI269, $BF$5:$BI$5)</f>
        <v>1.1349999999999909</v>
      </c>
      <c r="CG269" s="43">
        <f t="shared" si="260"/>
        <v>1.1972494979899346</v>
      </c>
      <c r="CI269" s="17"/>
      <c r="CJ269" s="20">
        <f>CA269-2*(CB269-CM269)</f>
        <v>-0.55999999999999961</v>
      </c>
      <c r="CK269" s="20">
        <f>CM269-(CB269-CA269)</f>
        <v>0.27000000000000024</v>
      </c>
      <c r="CL269" s="20">
        <f>2*CM269-CB269</f>
        <v>0.7200000000000002</v>
      </c>
      <c r="CM269" s="48">
        <f>(CB269+CA269+BI269)/3</f>
        <v>1.55</v>
      </c>
      <c r="CN269" s="20">
        <f>2*CM269-CA269</f>
        <v>2</v>
      </c>
      <c r="CO269" s="20">
        <f>CM269+(CB269-CA269)</f>
        <v>2.83</v>
      </c>
      <c r="CP269" s="20">
        <f>CB269+2*(CM269-CA269)</f>
        <v>3.28</v>
      </c>
      <c r="CQ269" s="2" cm="1">
        <f t="array" aca="1" ref="CQ269" ca="1">MAX(_xlfn._xlws.FILTER(CJ269:CP269,CJ269:CP269&lt;BJ269))</f>
        <v>0.7200000000000002</v>
      </c>
      <c r="CR269" s="2" cm="1">
        <f t="array" aca="1" ref="CR269" ca="1">MIN(_xlfn._xlws.FILTER($CJ269:$CP269,$CJ269:$CP269&gt;BJ269))</f>
        <v>1.55</v>
      </c>
      <c r="CS269" s="19">
        <f t="shared" ca="1" si="247"/>
        <v>1.1527777777777772</v>
      </c>
      <c r="CT269" s="23">
        <f t="shared" ca="1" si="248"/>
        <v>-0.57638888888888862</v>
      </c>
      <c r="CU269" s="23">
        <f t="shared" ca="1" si="249"/>
        <v>-0.38425925925925908</v>
      </c>
      <c r="CV269" s="23">
        <f t="shared" ca="1" si="250"/>
        <v>-0.23055555555555546</v>
      </c>
      <c r="CW269" s="23">
        <f t="shared" ca="1" si="251"/>
        <v>-0.12808641975308635</v>
      </c>
      <c r="CX269" s="23">
        <f t="shared" ca="1" si="261"/>
        <v>-6.7810457516339837E-2</v>
      </c>
      <c r="CY269" s="23">
        <f t="shared" ca="1" si="262"/>
        <v>-3.4932659932659919E-2</v>
      </c>
      <c r="CZ269" s="23">
        <f t="shared" ca="1" si="263"/>
        <v>-1.7735042735042728E-2</v>
      </c>
      <c r="DA269" s="24">
        <f t="shared" ca="1" si="264"/>
        <v>1.7735042735042728E-2</v>
      </c>
      <c r="DB269" s="24">
        <f t="shared" ca="1" si="265"/>
        <v>3.4932659932659919E-2</v>
      </c>
      <c r="DC269" s="24">
        <f t="shared" ca="1" si="266"/>
        <v>6.7810457516339837E-2</v>
      </c>
      <c r="DD269" s="24">
        <f t="shared" ca="1" si="252"/>
        <v>0.12808641975308635</v>
      </c>
      <c r="DE269" s="24">
        <f t="shared" ca="1" si="253"/>
        <v>0.23055555555555546</v>
      </c>
      <c r="DF269" s="24">
        <f t="shared" ca="1" si="254"/>
        <v>0.38425925925925908</v>
      </c>
      <c r="DG269" s="24">
        <f t="shared" ca="1" si="255"/>
        <v>0.57638888888888862</v>
      </c>
      <c r="DI269" s="19" cm="1">
        <f t="array" aca="1" ref="DI269" ca="1">MAX(_xlfn._xlws.FILTER(CT269:DG269,CT269:DG269&lt;BP269))</f>
        <v>3.4932659932659919E-2</v>
      </c>
      <c r="DJ269" s="19" cm="1">
        <f t="array" aca="1" ref="DJ269" ca="1">MIN(_xlfn._xlws.FILTER(CT269:DG269,CT269:DG269&gt;BP269))</f>
        <v>6.7810457516339837E-2</v>
      </c>
      <c r="DK269" s="2" cm="1">
        <f t="array" aca="1" ref="DK269" ca="1">_FV(EH269,"Fechamento anterior",TRUE)</f>
        <v>1.1299999999999999</v>
      </c>
      <c r="DL269" s="36">
        <f ca="1">(BJ269-DM269)/(DN269-DM269)</f>
        <v>1.4160624800085751E-2</v>
      </c>
      <c r="DM269" s="18">
        <f t="shared" ca="1" si="243"/>
        <v>1.1694739057239056</v>
      </c>
      <c r="DN269" s="18">
        <f t="shared" ca="1" si="244"/>
        <v>1.2066258169934638</v>
      </c>
      <c r="DO269" s="9"/>
      <c r="DP269" s="9"/>
      <c r="DQ269" s="94">
        <v>4.0156453715775739E-2</v>
      </c>
      <c r="DR269" s="94">
        <v>1.9469795740982176E-2</v>
      </c>
      <c r="DS269" s="94">
        <v>3.4545454545454539E-2</v>
      </c>
      <c r="DT269" s="94">
        <f t="shared" ca="1" si="256"/>
        <v>3.2877797583679917E-2</v>
      </c>
      <c r="DU269" s="87">
        <f ca="1">(BJ269-CF269)/(CF269-CE269)</f>
        <v>0.56225353023189362</v>
      </c>
      <c r="DV269" s="46"/>
      <c r="DW269" s="43">
        <f>_xlfn.STDEV.P(BF269:BI269)</f>
        <v>3.1124748994971859E-2</v>
      </c>
      <c r="DX269" s="76">
        <f ca="1">BO269-$DT$2</f>
        <v>0.59989999999999988</v>
      </c>
      <c r="DY269" s="76">
        <f ca="1">BO269-BP269*100</f>
        <v>-1.9428000000000001</v>
      </c>
      <c r="DZ269" s="101"/>
      <c r="EA269" s="100">
        <v>9.8224999999999998</v>
      </c>
      <c r="EB269" s="107">
        <v>3.8506</v>
      </c>
      <c r="EC269" s="107">
        <v>3.7206999999999999</v>
      </c>
      <c r="ED269" s="98">
        <f t="shared" ca="1" si="224"/>
        <v>2.5427</v>
      </c>
      <c r="EE269" s="66"/>
      <c r="EF269" s="66"/>
      <c r="EH269" s="5" t="e" vm="271">
        <v>#VALUE!</v>
      </c>
      <c r="EJ269" s="10" cm="1">
        <f t="array" aca="1" ref="EJ269" ca="1">_FV(EH269,"Ações em circulação",TRUE)</f>
        <v>26710360</v>
      </c>
      <c r="EK269" s="21">
        <f>VLOOKUP(BK269,Fundamentus!A:U,5,FALSE)</f>
        <v>8.5000000000000006E-2</v>
      </c>
      <c r="EL269" s="2">
        <f ca="1">(BJ269*EJ269)/EK269</f>
        <v>367660249.41176468</v>
      </c>
      <c r="EM269" s="20">
        <v>-151255426.60799998</v>
      </c>
      <c r="EN269" s="20">
        <f t="shared" ca="1" si="257"/>
        <v>-151255426.60799998</v>
      </c>
      <c r="EO269" s="2"/>
      <c r="EP269" s="19">
        <f t="shared" ca="1" si="242"/>
        <v>0</v>
      </c>
      <c r="EQ269" s="40" t="str">
        <f>IF(VLOOKUP(BK269,Fundamentus!A:U,3,FALSE)&lt;15,"Bom",IF(VLOOKUP(BK269,Fundamentus!A:U,3,FALSE)&gt;15,"Ruim","n/a"))</f>
        <v>Bom</v>
      </c>
      <c r="ER269" s="36" t="str">
        <f>IF(VLOOKUP(BK269,Fundamentus!A:U,4,FALSE)&lt;1,"Baixo",IF(VLOOKUP(BK269,Fundamentus!A:U,4,FALSE)&lt;1.5,"Moderado",IF(VLOOKUP(BK269,Fundamentus!A:U,4,FALSE)&gt;1.5,"Alto","n/a")))</f>
        <v>Baixo</v>
      </c>
      <c r="ES269" s="20" t="str">
        <f>IF(VLOOKUP(BK269,Fundamentus!A:U,8,FALSE)&lt;0,"Risco elevado",IF(VLOOKUP(BK269,Fundamentus!A:U,8,FALSE)&lt;1,"Saudável",IF(VLOOKUP(BK269,Fundamentus!A:U,8,FALSE)&lt;3,"Estável",IF(VLOOKUP(BK269,Fundamentus!A:U,8,FALSE)&gt;3,"Alerta","n/a"))))</f>
        <v>Risco elevado</v>
      </c>
      <c r="ET269" s="36" t="str">
        <f t="shared" si="258"/>
        <v>Ruim</v>
      </c>
      <c r="EU269" s="20" t="str">
        <f>IF(VLOOKUP(BK269,Fundamentus!A:U,12,FALSE)&lt;2,"Subvalorizada",IF(VLOOKUP(BK269,Fundamentus!A:U,12,FALSE)&lt;6,"Muita barata",IF(VLOOKUP(BK269,Fundamentus!A:U,12,FALSE)&lt;6,"Barata",IF(VLOOKUP(BK269,Fundamentus!A:U,12,FALSE)&lt;8,"Atrativa",IF(VLOOKUP(BK269,Fundamentus!A:U,12,FALSE)&gt;8,"Supervalorizada","n/a")))))</f>
        <v>Subvalorizada</v>
      </c>
      <c r="EV269" s="2"/>
      <c r="EW269" s="20" t="str">
        <f>IF(VLOOKUP(BK269,Fundamentus!A:U,17,FALSE)&lt;0.1,"Fraco retorno",IF(VLOOKUP(BK269,Fundamentus!A:U,17,FALSE)&gt;0.1,"Bom retorno","n/a"))</f>
        <v>Fraco retorno</v>
      </c>
      <c r="EX269" s="20" t="str">
        <f>IF(VLOOKUP(BK269,Fundamentus!A:U,16,FALSE)&lt;0.1,"Ineficiente",IF(VLOOKUP(BK269,Fundamentus!A:U,16,FALSE)&gt;0.1,"Eficiente","n/a"))</f>
        <v>Ineficiente</v>
      </c>
      <c r="EY269" s="41" t="str">
        <f>IF(VLOOKUP(BK269,Fundamentus!A:U,16,FALSE)&lt;0.1,"Oper. Ineficiente",IF(VLOOKUP(BK269,Fundamentus!A:U,16,FALSE)&gt;0.1,"Oper.Eficiente","n/a"))</f>
        <v>Oper. Ineficiente</v>
      </c>
      <c r="EZ269" s="42">
        <f>VLOOKUP(BK269,Fundamentus!A:U,14,FALSE)</f>
        <v>-0.41139999999999999</v>
      </c>
      <c r="FA269" s="20" t="str">
        <f>IF(VLOOKUP(BK269,Fundamentus!A:U,21,FALSE)&lt;0,"Negativo",IF(VLOOKUP(BK269,Fundamentus!A:U,21,FALSE)&lt;0.05,"Fraco",IF(VLOOKUP(BK269,Fundamentus!A:U,21,FALSE)&lt;0.1,"Bom",IF(VLOOKUP(BK269,Fundamentus!A:U,21,FALSE)&gt;0.1,"Muito bom","n/a"))))</f>
        <v>Negativo</v>
      </c>
      <c r="FC269" s="37" t="str">
        <f>IF(VLOOKUP(BK269,Fundamentus!A:U,15,FALSE)&gt;1,"Bom",IF(VLOOKUP(BK269,Fundamentus!A:U,15,FALSE)&lt;1,"Ruim","n/a"))</f>
        <v>Ruim</v>
      </c>
      <c r="FD269" s="20" t="str">
        <f>IF(VLOOKUP(BK269,Fundamentus!A:U,20,FALSE)&lt;0.5,"Baixa",IF(VLOOKUP(BK269,Fundamentus!A:U,20,FALSE)&lt;1,"Moderada",IF(VLOOKUP(BK269,Fundamentus!A:U,20,FALSE)&lt;2,"Alerta",IF(VLOOKUP(BK269,Fundamentus!A:U,20,FALSE)&gt;2,"Alta","n/a"))))</f>
        <v>Alta</v>
      </c>
    </row>
    <row r="270" spans="1:160" s="2" customFormat="1" ht="11.25" hidden="1"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8" t="e" vm="272">
        <v>#VALUE!</v>
      </c>
      <c r="BC270" s="62" t="e" vm="272">
        <v>#VALUE!</v>
      </c>
      <c r="BD270" s="62" t="e" vm="272">
        <v>#VALUE!</v>
      </c>
      <c r="BE270" s="62" t="e" vm="272">
        <v>#VALUE!</v>
      </c>
      <c r="BF270" s="62" t="e" vm="272">
        <v>#VALUE!</v>
      </c>
      <c r="BG270" s="81" t="e" vm="272">
        <v>#VALUE!</v>
      </c>
      <c r="BH270" s="62" t="e" vm="272">
        <v>#VALUE!</v>
      </c>
      <c r="BI270" s="62" t="e" vm="272">
        <v>#VALUE!</v>
      </c>
      <c r="BJ270" s="62" t="e" cm="1" vm="272">
        <f t="array" ref="BJ270">_FV(EH270,"Preço")</f>
        <v>#VALUE!</v>
      </c>
      <c r="BK270" s="83" t="s">
        <v>266</v>
      </c>
      <c r="BL270" s="44" t="e" cm="1" vm="3">
        <f t="array" ref="BL270">_FV(EH270,"Média de volume",TRUE)</f>
        <v>#VALUE!</v>
      </c>
      <c r="BM270" s="44" t="e" vm="273">
        <v>#VALUE!</v>
      </c>
      <c r="BN270" s="44" t="e" cm="1" vm="273">
        <f t="array" ref="BN270">_FV(EH270,"Volume")</f>
        <v>#VALUE!</v>
      </c>
      <c r="BO270" s="32" t="e" cm="1" vm="137">
        <f t="array" ref="BO270">_FV(EH270,"Beta")</f>
        <v>#VALUE!</v>
      </c>
      <c r="BP270" s="86" t="e" cm="1" vm="274">
        <f t="array" ref="BP270">_FV(EH270,"Variação (%)",TRUE)</f>
        <v>#VALUE!</v>
      </c>
      <c r="BQ270" s="48"/>
      <c r="BR270" s="48"/>
      <c r="BT270" s="20" t="e" cm="1" vm="275">
        <f t="array" ref="BT270">_FV(EH270,"Baixo")</f>
        <v>#VALUE!</v>
      </c>
      <c r="BU270" s="20" t="e" cm="1" vm="276">
        <f t="array" ref="BU270">_FV(EH270,"Alto")</f>
        <v>#VALUE!</v>
      </c>
      <c r="BV270" s="32"/>
      <c r="BW270" s="73" t="e" vm="138">
        <f>SQRT(22.5*(BJ270/VLOOKUP(BK270,Fundamentus!A:U,3,FALSE))*(BJ270/VLOOKUP(BK270,Fundamentus!A:U,4,FALSE)))</f>
        <v>#VALUE!</v>
      </c>
      <c r="BY270" s="72" t="e" vm="138">
        <f t="shared" si="245"/>
        <v>#VALUE!</v>
      </c>
      <c r="BZ270" s="8"/>
      <c r="CA270" s="71" t="e">
        <f t="shared" ref="CA270:CA271" si="267">MIN(A270:BI270)</f>
        <v>#N/A</v>
      </c>
      <c r="CB270" s="71" t="e">
        <f t="shared" si="246"/>
        <v>#N/A</v>
      </c>
      <c r="CC270" s="71" t="e">
        <f t="shared" ref="CC270:CC271" si="268">AVERAGE(A270:BI270)</f>
        <v>#N/A</v>
      </c>
      <c r="CD270" s="17"/>
      <c r="CE270" s="43" t="e">
        <f t="shared" si="259"/>
        <v>#VALUE!</v>
      </c>
      <c r="CF270" s="18" t="e">
        <f>FORECAST("04/07/2025", BF270:BI270, $BF$5:$BI$5)</f>
        <v>#VALUE!</v>
      </c>
      <c r="CG270" s="43" t="e">
        <f t="shared" si="260"/>
        <v>#VALUE!</v>
      </c>
      <c r="CI270" s="17"/>
      <c r="CJ270" s="20" t="e">
        <f>CA270-2*(CB270-CM270)</f>
        <v>#N/A</v>
      </c>
      <c r="CK270" s="20" t="e">
        <f>CM270-(CB270-CA270)</f>
        <v>#N/A</v>
      </c>
      <c r="CL270" s="20" t="e">
        <f>2*CM270-CB270</f>
        <v>#N/A</v>
      </c>
      <c r="CM270" s="48" t="e">
        <f>(CB270+CA270+BI270)/3</f>
        <v>#N/A</v>
      </c>
      <c r="CN270" s="20" t="e">
        <f>2*CM270-CA270</f>
        <v>#N/A</v>
      </c>
      <c r="CO270" s="20" t="e">
        <f>CM270+(CB270-CA270)</f>
        <v>#N/A</v>
      </c>
      <c r="CP270" s="20" t="e">
        <f>CB270+2*(CM270-CA270)</f>
        <v>#N/A</v>
      </c>
      <c r="CQ270" s="2" t="e" cm="1">
        <f t="array" ref="CQ270">MAX(_xlfn._xlws.FILTER(CJ270:CP270,CJ270:CP270&lt;BJ270))</f>
        <v>#N/A</v>
      </c>
      <c r="CR270" s="2" t="e" cm="1">
        <f t="array" ref="CR270">MIN(_xlfn._xlws.FILTER($CJ270:$CP270,$CJ270:$CP270&gt;BJ270))</f>
        <v>#N/A</v>
      </c>
      <c r="CS270" s="19" t="e">
        <f t="shared" si="247"/>
        <v>#N/A</v>
      </c>
      <c r="CT270" s="23" t="e">
        <f t="shared" si="248"/>
        <v>#N/A</v>
      </c>
      <c r="CU270" s="23" t="e">
        <f t="shared" si="249"/>
        <v>#N/A</v>
      </c>
      <c r="CV270" s="23" t="e">
        <f t="shared" si="250"/>
        <v>#N/A</v>
      </c>
      <c r="CW270" s="23" t="e">
        <f t="shared" si="251"/>
        <v>#N/A</v>
      </c>
      <c r="CX270" s="23" t="e">
        <f t="shared" si="261"/>
        <v>#N/A</v>
      </c>
      <c r="CY270" s="23" t="e">
        <f t="shared" si="262"/>
        <v>#N/A</v>
      </c>
      <c r="CZ270" s="23" t="e">
        <f t="shared" si="263"/>
        <v>#N/A</v>
      </c>
      <c r="DA270" s="24" t="e">
        <f t="shared" si="264"/>
        <v>#N/A</v>
      </c>
      <c r="DB270" s="24" t="e">
        <f t="shared" si="265"/>
        <v>#N/A</v>
      </c>
      <c r="DC270" s="24" t="e">
        <f t="shared" si="266"/>
        <v>#N/A</v>
      </c>
      <c r="DD270" s="24" t="e">
        <f t="shared" si="252"/>
        <v>#N/A</v>
      </c>
      <c r="DE270" s="24" t="e">
        <f t="shared" si="253"/>
        <v>#N/A</v>
      </c>
      <c r="DF270" s="24" t="e">
        <f t="shared" si="254"/>
        <v>#N/A</v>
      </c>
      <c r="DG270" s="24" t="e">
        <f t="shared" si="255"/>
        <v>#N/A</v>
      </c>
      <c r="DI270" s="19" t="e" cm="1">
        <f t="array" ref="DI270">MAX(_xlfn._xlws.FILTER(CT270:DG270,CT270:DG270&lt;BP270))</f>
        <v>#N/A</v>
      </c>
      <c r="DJ270" s="19" t="e" cm="1">
        <f t="array" ref="DJ270">MIN(_xlfn._xlws.FILTER(CT270:DG270,CT270:DG270&gt;BP270))</f>
        <v>#N/A</v>
      </c>
      <c r="DK270" s="2" t="e" cm="1" vm="277">
        <f t="array" ref="DK270">_FV(EH270,"Fechamento anterior",TRUE)</f>
        <v>#VALUE!</v>
      </c>
      <c r="DL270" s="36" t="e" vm="138">
        <f>(BJ270-DM270)/(DN270-DM270)</f>
        <v>#VALUE!</v>
      </c>
      <c r="DM270" s="18" t="e" vm="138">
        <f t="shared" si="243"/>
        <v>#VALUE!</v>
      </c>
      <c r="DN270" s="18" t="e" vm="138">
        <f t="shared" si="244"/>
        <v>#VALUE!</v>
      </c>
      <c r="DO270" s="9"/>
      <c r="DP270" s="9"/>
      <c r="DQ270" s="94" t="e">
        <v>#N/A</v>
      </c>
      <c r="DR270" s="94" t="e">
        <v>#N/A</v>
      </c>
      <c r="DS270" s="94" t="e">
        <v>#N/A</v>
      </c>
      <c r="DT270" s="94" t="e">
        <f t="shared" si="256"/>
        <v>#N/A</v>
      </c>
      <c r="DU270" s="87" t="e" vm="138">
        <f>(BJ270-CF270)/(CF270-CE270)</f>
        <v>#VALUE!</v>
      </c>
      <c r="DV270" s="46"/>
      <c r="DW270" s="43" t="e" vm="138">
        <f>_xlfn.STDEV.P(BF270:BI270)</f>
        <v>#VALUE!</v>
      </c>
      <c r="DX270" s="76" t="e" vm="138">
        <f ca="1">BO270-$DT$2</f>
        <v>#VALUE!</v>
      </c>
      <c r="DY270" s="76" t="e" vm="138">
        <f>BO270-BP270*100</f>
        <v>#VALUE!</v>
      </c>
      <c r="DZ270" s="101"/>
      <c r="EA270" s="100" t="e" vm="138">
        <v>#VALUE!</v>
      </c>
      <c r="EB270" s="107" t="e" vm="138">
        <v>#VALUE!</v>
      </c>
      <c r="EC270" s="107" t="e" vm="138">
        <v>#VALUE!</v>
      </c>
      <c r="ED270" s="98" t="e" vm="138">
        <f t="shared" ca="1" si="224"/>
        <v>#VALUE!</v>
      </c>
      <c r="EE270" s="66"/>
      <c r="EF270" s="66"/>
      <c r="EH270" s="2" t="s">
        <v>266</v>
      </c>
      <c r="EJ270" s="10" t="e" cm="1" vm="152">
        <f t="array" ref="EJ270">_FV(EH270,"Ações em circulação",TRUE)</f>
        <v>#VALUE!</v>
      </c>
      <c r="EK270" s="21" t="e">
        <f>VLOOKUP(BK270,Fundamentus!A:U,5,FALSE)</f>
        <v>#N/A</v>
      </c>
      <c r="EL270" s="2" t="e" vm="138">
        <f>(BJ270*EJ270)/EK270</f>
        <v>#VALUE!</v>
      </c>
      <c r="EM270" s="20" t="e" vm="138">
        <v>#VALUE!</v>
      </c>
      <c r="EN270" s="20" t="e" vm="138">
        <f t="shared" si="257"/>
        <v>#VALUE!</v>
      </c>
      <c r="EP270" s="19" t="e" vm="138">
        <f t="shared" si="242"/>
        <v>#VALUE!</v>
      </c>
      <c r="EQ270" s="40" t="e">
        <f>IF(VLOOKUP(BK270,Fundamentus!A:U,3,FALSE)&lt;15,"Bom",IF(VLOOKUP(BK270,Fundamentus!A:U,3,FALSE)&gt;15,"Ruim","n/a"))</f>
        <v>#N/A</v>
      </c>
      <c r="ER270" s="36" t="e">
        <f>IF(VLOOKUP(BK270,Fundamentus!A:U,4,FALSE)&lt;1,"Baixo",IF(VLOOKUP(BK270,Fundamentus!A:U,4,FALSE)&lt;1.5,"Moderado",IF(VLOOKUP(BK270,Fundamentus!A:U,4,FALSE)&gt;1.5,"Alto","n/a")))</f>
        <v>#N/A</v>
      </c>
      <c r="ES270" s="20" t="e">
        <f>IF(VLOOKUP(BK270,Fundamentus!A:U,8,FALSE)&lt;0,"Risco elevado",IF(VLOOKUP(BK270,Fundamentus!A:U,8,FALSE)&lt;1,"Saudável",IF(VLOOKUP(BK270,Fundamentus!A:U,8,FALSE)&lt;3,"Estável",IF(VLOOKUP(BK270,Fundamentus!A:U,8,FALSE)&gt;3,"Alerta","n/a"))))</f>
        <v>#N/A</v>
      </c>
      <c r="ET270" s="36" t="e">
        <f t="shared" si="258"/>
        <v>#N/A</v>
      </c>
      <c r="EU270" s="20" t="e">
        <f>IF(VLOOKUP(BK270,Fundamentus!A:U,12,FALSE)&lt;2,"Subvalorizada",IF(VLOOKUP(BK270,Fundamentus!A:U,12,FALSE)&lt;6,"Muita barata",IF(VLOOKUP(BK270,Fundamentus!A:U,12,FALSE)&lt;6,"Barata",IF(VLOOKUP(BK270,Fundamentus!A:U,12,FALSE)&lt;8,"Atrativa",IF(VLOOKUP(BK270,Fundamentus!A:U,12,FALSE)&gt;8,"Supervalorizada","n/a")))))</f>
        <v>#N/A</v>
      </c>
      <c r="EW270" s="20" t="e">
        <f>IF(VLOOKUP(BK270,Fundamentus!A:U,17,FALSE)&lt;0.1,"Fraco retorno",IF(VLOOKUP(BK270,Fundamentus!A:U,17,FALSE)&gt;0.1,"Bom retorno","n/a"))</f>
        <v>#N/A</v>
      </c>
      <c r="EX270" s="20" t="e">
        <f>IF(VLOOKUP(BK270,Fundamentus!A:U,16,FALSE)&lt;0.1,"Ineficiente",IF(VLOOKUP(BK270,Fundamentus!A:U,16,FALSE)&gt;0.1,"Eficiente","n/a"))</f>
        <v>#N/A</v>
      </c>
      <c r="EY270" s="41" t="e">
        <f>IF(VLOOKUP(BK270,Fundamentus!A:U,16,FALSE)&lt;0.1,"Oper. Ineficiente",IF(VLOOKUP(BK270,Fundamentus!A:U,16,FALSE)&gt;0.1,"Oper.Eficiente","n/a"))</f>
        <v>#N/A</v>
      </c>
      <c r="EZ270" s="42" t="e">
        <f>VLOOKUP(BK270,Fundamentus!A:U,14,FALSE)</f>
        <v>#N/A</v>
      </c>
      <c r="FA270" s="20" t="e">
        <f>IF(VLOOKUP(BK270,Fundamentus!A:U,21,FALSE)&lt;0,"Negativo",IF(VLOOKUP(BK270,Fundamentus!A:U,21,FALSE)&lt;0.05,"Fraco",IF(VLOOKUP(BK270,Fundamentus!A:U,21,FALSE)&lt;0.1,"Bom",IF(VLOOKUP(BK270,Fundamentus!A:U,21,FALSE)&gt;0.1,"Muito bom","n/a"))))</f>
        <v>#N/A</v>
      </c>
      <c r="FC270" s="37" t="e">
        <f>IF(VLOOKUP(BK270,Fundamentus!A:U,15,FALSE)&gt;1,"Bom",IF(VLOOKUP(BK270,Fundamentus!A:U,15,FALSE)&lt;1,"Ruim","n/a"))</f>
        <v>#N/A</v>
      </c>
      <c r="FD270" s="20" t="e">
        <f>IF(VLOOKUP(BK270,Fundamentus!A:U,20,FALSE)&lt;0.5,"Baixa",IF(VLOOKUP(BK270,Fundamentus!A:U,20,FALSE)&lt;1,"Moderada",IF(VLOOKUP(BK270,Fundamentus!A:U,20,FALSE)&lt;2,"Alerta",IF(VLOOKUP(BK270,Fundamentus!A:U,20,FALSE)&gt;2,"Alta","n/a"))))</f>
        <v>#N/A</v>
      </c>
    </row>
    <row r="271" spans="1:160" s="2" customFormat="1" ht="11.25" hidden="1"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8">
        <v>11.94</v>
      </c>
      <c r="BC271" s="62">
        <v>11.74</v>
      </c>
      <c r="BD271" s="62">
        <v>11.72</v>
      </c>
      <c r="BE271" s="62">
        <v>11.74</v>
      </c>
      <c r="BF271" s="62">
        <v>11.48</v>
      </c>
      <c r="BG271" s="81">
        <v>11.34</v>
      </c>
      <c r="BH271" s="62">
        <v>11.41</v>
      </c>
      <c r="BI271" s="62">
        <v>11.44</v>
      </c>
      <c r="BJ271" s="62" cm="1">
        <f t="array" aca="1" ref="BJ271" ca="1">_FV(EH271,"Preço")</f>
        <v>11.45</v>
      </c>
      <c r="BK271" s="83" t="s">
        <v>267</v>
      </c>
      <c r="BL271" s="44" cm="1">
        <f t="array" aca="1" ref="BL271" ca="1">_FV(EH271,"Média de volume",TRUE)</f>
        <v>1674490</v>
      </c>
      <c r="BM271" s="44">
        <v>29600</v>
      </c>
      <c r="BN271" s="44" cm="1">
        <f t="array" aca="1" ref="BN271" ca="1">_FV(EH271,"Volume")</f>
        <v>36500</v>
      </c>
      <c r="BO271" s="32" cm="1">
        <f t="array" aca="1" ref="BO271" ca="1">_FV(EH271,"Beta")</f>
        <v>0.68979999999999997</v>
      </c>
      <c r="BP271" s="86" cm="1">
        <f t="array" aca="1" ref="BP271" ca="1">_FV(EH271,"Variação (%)",TRUE)</f>
        <v>8.7410000000000005E-4</v>
      </c>
      <c r="BQ271" s="48"/>
      <c r="BR271" s="48"/>
      <c r="BT271" s="20" cm="1">
        <f t="array" aca="1" ref="BT271" ca="1">_FV(EH271,"Baixo")</f>
        <v>11.36</v>
      </c>
      <c r="BU271" s="20" cm="1">
        <f t="array" aca="1" ref="BU271" ca="1">_FV(EH271,"Alto")</f>
        <v>11.55</v>
      </c>
      <c r="BV271" s="32"/>
      <c r="BW271" s="73">
        <f ca="1">SQRT(22.5*(BJ271/VLOOKUP(BK271,Fundamentus!A:U,3,FALSE))*(BJ271/VLOOKUP(BK271,Fundamentus!A:U,4,FALSE)))</f>
        <v>16.224793868264719</v>
      </c>
      <c r="BY271" s="72">
        <f t="shared" ca="1" si="245"/>
        <v>8.7412587412585548E-4</v>
      </c>
      <c r="BZ271" s="8"/>
      <c r="CA271" s="71">
        <f t="shared" si="267"/>
        <v>10.7</v>
      </c>
      <c r="CB271" s="71">
        <f t="shared" si="246"/>
        <v>12.17</v>
      </c>
      <c r="CC271" s="71">
        <f t="shared" si="268"/>
        <v>11.405163934426236</v>
      </c>
      <c r="CD271" s="17"/>
      <c r="CE271" s="43">
        <f t="shared" si="259"/>
        <v>11.302652552547707</v>
      </c>
      <c r="CF271" s="18">
        <f>FORECAST("04/07/2025", BF271:BI271, $BF$5:$BI$5)</f>
        <v>11.405000000000001</v>
      </c>
      <c r="CG271" s="43">
        <f t="shared" si="260"/>
        <v>11.507347447452295</v>
      </c>
      <c r="CI271" s="17"/>
      <c r="CJ271" s="20">
        <f>CA271-2*(CB271-CM271)</f>
        <v>9.2333333333333307</v>
      </c>
      <c r="CK271" s="20">
        <f>CM271-(CB271-CA271)</f>
        <v>9.966666666666665</v>
      </c>
      <c r="CL271" s="20">
        <f>2*CM271-CB271</f>
        <v>10.703333333333331</v>
      </c>
      <c r="CM271" s="48">
        <f>(CB271+CA271+BI271)/3</f>
        <v>11.436666666666666</v>
      </c>
      <c r="CN271" s="20">
        <f>2*CM271-CA271</f>
        <v>12.173333333333332</v>
      </c>
      <c r="CO271" s="20">
        <f>CM271+(CB271-CA271)</f>
        <v>12.906666666666666</v>
      </c>
      <c r="CP271" s="20">
        <f>CB271+2*(CM271-CA271)</f>
        <v>13.643333333333333</v>
      </c>
      <c r="CQ271" s="2" cm="1">
        <f t="array" aca="1" ref="CQ271" ca="1">MAX(_xlfn._xlws.FILTER(CJ271:CP271,CJ271:CP271&lt;BJ271))</f>
        <v>11.436666666666666</v>
      </c>
      <c r="CR271" s="2" cm="1">
        <f t="array" aca="1" ref="CR271" ca="1">MIN(_xlfn._xlws.FILTER($CJ271:$CP271,$CJ271:$CP271&gt;BJ271))</f>
        <v>12.173333333333332</v>
      </c>
      <c r="CS271" s="19">
        <f t="shared" ca="1" si="247"/>
        <v>6.4412707665403746E-2</v>
      </c>
      <c r="CT271" s="23">
        <f t="shared" ca="1" si="248"/>
        <v>-3.2206353832701873E-2</v>
      </c>
      <c r="CU271" s="23">
        <f t="shared" ca="1" si="249"/>
        <v>-2.1470902555134581E-2</v>
      </c>
      <c r="CV271" s="23">
        <f t="shared" ca="1" si="250"/>
        <v>-1.2882541533080749E-2</v>
      </c>
      <c r="CW271" s="23">
        <f t="shared" ca="1" si="251"/>
        <v>-7.1569675183781939E-3</v>
      </c>
      <c r="CX271" s="23">
        <f t="shared" ca="1" si="261"/>
        <v>-3.7889828038472793E-3</v>
      </c>
      <c r="CY271" s="23">
        <f t="shared" ca="1" si="262"/>
        <v>-1.951900232284962E-3</v>
      </c>
      <c r="CZ271" s="23">
        <f t="shared" ca="1" si="263"/>
        <v>-9.9096473331390373E-4</v>
      </c>
      <c r="DA271" s="24">
        <f t="shared" ca="1" si="264"/>
        <v>9.9096473331390373E-4</v>
      </c>
      <c r="DB271" s="24">
        <f t="shared" ca="1" si="265"/>
        <v>1.951900232284962E-3</v>
      </c>
      <c r="DC271" s="24">
        <f t="shared" ca="1" si="266"/>
        <v>3.7889828038472793E-3</v>
      </c>
      <c r="DD271" s="24">
        <f t="shared" ca="1" si="252"/>
        <v>7.1569675183781939E-3</v>
      </c>
      <c r="DE271" s="24">
        <f t="shared" ca="1" si="253"/>
        <v>1.2882541533080749E-2</v>
      </c>
      <c r="DF271" s="24">
        <f t="shared" ca="1" si="254"/>
        <v>2.1470902555134581E-2</v>
      </c>
      <c r="DG271" s="24">
        <f t="shared" ca="1" si="255"/>
        <v>3.2206353832701873E-2</v>
      </c>
      <c r="DI271" s="19" cm="1">
        <f t="array" aca="1" ref="DI271" ca="1">MAX(_xlfn._xlws.FILTER(CT271:DG271,CT271:DG271&lt;BP271))</f>
        <v>-9.9096473331390373E-4</v>
      </c>
      <c r="DJ271" s="19" cm="1">
        <f t="array" aca="1" ref="DJ271" ca="1">MIN(_xlfn._xlws.FILTER(CT271:DG271,CT271:DG271&gt;BP271))</f>
        <v>9.9096473331390373E-4</v>
      </c>
      <c r="DK271" s="2" cm="1">
        <f t="array" aca="1" ref="DK271" ca="1">_FV(EH271,"Fechamento anterior",TRUE)</f>
        <v>11.44</v>
      </c>
      <c r="DL271" s="36">
        <f ca="1">(BJ271-DM271)/(DN271-DM271)</f>
        <v>0.94104792266558845</v>
      </c>
      <c r="DM271" s="18">
        <f t="shared" ca="1" si="243"/>
        <v>11.428663363450889</v>
      </c>
      <c r="DN271" s="18">
        <f t="shared" ca="1" si="244"/>
        <v>11.45133663654911</v>
      </c>
      <c r="DO271" s="9"/>
      <c r="DP271" s="9"/>
      <c r="DQ271" s="94">
        <v>2.3929870827534019E-3</v>
      </c>
      <c r="DR271" s="94">
        <v>2.289626008282369E-3</v>
      </c>
      <c r="DS271" s="94">
        <v>3.7687695991381141E-3</v>
      </c>
      <c r="DT271" s="94">
        <f t="shared" ca="1" si="256"/>
        <v>1.9819294666278075E-3</v>
      </c>
      <c r="DU271" s="87">
        <f ca="1">(BJ271-CF271)/(CF271-CE271)</f>
        <v>0.43967877187140925</v>
      </c>
      <c r="DV271" s="46"/>
      <c r="DW271" s="43">
        <f>_xlfn.STDEV.P(BF271:BI271)</f>
        <v>5.1173723726146925E-2</v>
      </c>
      <c r="DX271" s="76">
        <f ca="1">BO271-$DT$2</f>
        <v>-0.30730000000000013</v>
      </c>
      <c r="DY271" s="76">
        <f ca="1">BO271-BP271*100</f>
        <v>0.60238999999999998</v>
      </c>
      <c r="DZ271" s="101"/>
      <c r="EA271" s="100">
        <v>0.47439999999999993</v>
      </c>
      <c r="EB271" s="107">
        <v>1.3296199999999998</v>
      </c>
      <c r="EC271" s="107">
        <v>0.18090000000000006</v>
      </c>
      <c r="ED271" s="98">
        <f t="shared" ca="1" si="224"/>
        <v>-0.90969000000000011</v>
      </c>
      <c r="EE271" s="66"/>
      <c r="EF271" s="66"/>
      <c r="EH271" s="2" t="e" vm="278">
        <v>#VALUE!</v>
      </c>
      <c r="EJ271" s="10" cm="1">
        <f t="array" aca="1" ref="EJ271" ca="1">_FV(EH271,"Ações em circulação",TRUE)</f>
        <v>344498900</v>
      </c>
      <c r="EK271" s="21">
        <f>VLOOKUP(BK271,Fundamentus!A:U,5,FALSE)</f>
        <v>2.952</v>
      </c>
      <c r="EL271" s="2">
        <f ca="1">(BJ271*EJ271)/EK271</f>
        <v>1336216939.3631434</v>
      </c>
      <c r="EM271" s="20">
        <v>566728698.54065037</v>
      </c>
      <c r="EN271" s="20">
        <f t="shared" ca="1" si="257"/>
        <v>567224090.7596544</v>
      </c>
      <c r="EP271" s="19">
        <f t="shared" ca="1" si="242"/>
        <v>8.7412587412583065E-4</v>
      </c>
      <c r="EQ271" s="40" t="str">
        <f>IF(VLOOKUP(BK271,Fundamentus!A:U,3,FALSE)&lt;15,"Bom",IF(VLOOKUP(BK271,Fundamentus!A:U,3,FALSE)&gt;15,"Ruim","n/a"))</f>
        <v>Bom</v>
      </c>
      <c r="ER271" s="36" t="str">
        <f>IF(VLOOKUP(BK271,Fundamentus!A:U,4,FALSE)&lt;1,"Baixo",IF(VLOOKUP(BK271,Fundamentus!A:U,4,FALSE)&lt;1.5,"Moderado",IF(VLOOKUP(BK271,Fundamentus!A:U,4,FALSE)&gt;1.5,"Alto","n/a")))</f>
        <v>Alto</v>
      </c>
      <c r="ES271" s="20" t="str">
        <f>IF(VLOOKUP(BK271,Fundamentus!A:U,8,FALSE)&lt;0,"Risco elevado",IF(VLOOKUP(BK271,Fundamentus!A:U,8,FALSE)&lt;1,"Saudável",IF(VLOOKUP(BK271,Fundamentus!A:U,8,FALSE)&lt;3,"Estável",IF(VLOOKUP(BK271,Fundamentus!A:U,8,FALSE)&gt;3,"Alerta","n/a"))))</f>
        <v>Alerta</v>
      </c>
      <c r="ET271" s="36" t="str">
        <f t="shared" si="258"/>
        <v>Bom</v>
      </c>
      <c r="EU271" s="20" t="str">
        <f>IF(VLOOKUP(BK271,Fundamentus!A:U,12,FALSE)&lt;2,"Subvalorizada",IF(VLOOKUP(BK271,Fundamentus!A:U,12,FALSE)&lt;6,"Muita barata",IF(VLOOKUP(BK271,Fundamentus!A:U,12,FALSE)&lt;6,"Barata",IF(VLOOKUP(BK271,Fundamentus!A:U,12,FALSE)&lt;8,"Atrativa",IF(VLOOKUP(BK271,Fundamentus!A:U,12,FALSE)&gt;8,"Supervalorizada","n/a")))))</f>
        <v>Supervalorizada</v>
      </c>
      <c r="EW271" s="20" t="str">
        <f>IF(VLOOKUP(BK271,Fundamentus!A:U,17,FALSE)&lt;0.1,"Fraco retorno",IF(VLOOKUP(BK271,Fundamentus!A:U,17,FALSE)&gt;0.1,"Bom retorno","n/a"))</f>
        <v>Bom retorno</v>
      </c>
      <c r="EX271" s="20" t="str">
        <f>IF(VLOOKUP(BK271,Fundamentus!A:U,16,FALSE)&lt;0.1,"Ineficiente",IF(VLOOKUP(BK271,Fundamentus!A:U,16,FALSE)&gt;0.1,"Eficiente","n/a"))</f>
        <v>Eficiente</v>
      </c>
      <c r="EY271" s="41" t="str">
        <f>IF(VLOOKUP(BK271,Fundamentus!A:U,16,FALSE)&lt;0.1,"Oper. Ineficiente",IF(VLOOKUP(BK271,Fundamentus!A:U,16,FALSE)&gt;0.1,"Oper.Eficiente","n/a"))</f>
        <v>Oper.Eficiente</v>
      </c>
      <c r="EZ271" s="42">
        <f>VLOOKUP(BK271,Fundamentus!A:U,14,FALSE)</f>
        <v>0.42449999999999999</v>
      </c>
      <c r="FA271" s="20" t="str">
        <f>IF(VLOOKUP(BK271,Fundamentus!A:U,21,FALSE)&lt;0,"Negativo",IF(VLOOKUP(BK271,Fundamentus!A:U,21,FALSE)&lt;0.05,"Fraco",IF(VLOOKUP(BK271,Fundamentus!A:U,21,FALSE)&lt;0.1,"Bom",IF(VLOOKUP(BK271,Fundamentus!A:U,21,FALSE)&gt;0.1,"Muito bom","n/a"))))</f>
        <v>Fraco</v>
      </c>
      <c r="FC271" s="37" t="str">
        <f>IF(VLOOKUP(BK271,Fundamentus!A:U,15,FALSE)&gt;1,"Bom",IF(VLOOKUP(BK271,Fundamentus!A:U,15,FALSE)&lt;1,"Ruim","n/a"))</f>
        <v>Bom</v>
      </c>
      <c r="FD271" s="20" t="str">
        <f>IF(VLOOKUP(BK271,Fundamentus!A:U,20,FALSE)&lt;0.5,"Baixa",IF(VLOOKUP(BK271,Fundamentus!A:U,20,FALSE)&lt;1,"Moderada",IF(VLOOKUP(BK271,Fundamentus!A:U,20,FALSE)&lt;2,"Alerta",IF(VLOOKUP(BK271,Fundamentus!A:U,20,FALSE)&gt;2,"Alta","n/a"))))</f>
        <v>Alerta</v>
      </c>
    </row>
    <row r="273" spans="1:147" ht="11.25" customHeight="1" x14ac:dyDescent="0.25">
      <c r="CE273" s="1" t="s">
        <v>527</v>
      </c>
      <c r="CF273" s="1" t="s">
        <v>526</v>
      </c>
      <c r="EP273" s="19">
        <v>5.1817927712916045E-3</v>
      </c>
    </row>
    <row r="274" spans="1:147" ht="11.25" customHeight="1" x14ac:dyDescent="0.25">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7"/>
      <c r="AU274" s="67"/>
      <c r="AV274" s="67"/>
      <c r="AW274" s="67"/>
      <c r="AX274" s="67"/>
      <c r="AY274" s="67"/>
      <c r="AZ274" s="67"/>
      <c r="BA274" s="67"/>
      <c r="BB274" s="67"/>
      <c r="BC274" s="67"/>
      <c r="BD274" s="67"/>
      <c r="BE274" s="67"/>
      <c r="BF274" s="67"/>
      <c r="BG274" s="67"/>
      <c r="BH274" s="67"/>
      <c r="BI274" s="67"/>
      <c r="BP274" s="19" t="s">
        <v>519</v>
      </c>
      <c r="CE274" s="1">
        <v>4.88</v>
      </c>
      <c r="CF274" s="1">
        <v>5.03</v>
      </c>
      <c r="CU274" s="1" t="s">
        <v>275</v>
      </c>
      <c r="CV274" s="1" t="s">
        <v>269</v>
      </c>
      <c r="CW274" s="1" t="s">
        <v>271</v>
      </c>
      <c r="CX274" s="1" t="s">
        <v>270</v>
      </c>
      <c r="CY274" s="1" t="s">
        <v>280</v>
      </c>
      <c r="CZ274" s="1" t="s">
        <v>281</v>
      </c>
      <c r="DA274" s="1" t="s">
        <v>282</v>
      </c>
      <c r="DB274" s="1" t="s">
        <v>284</v>
      </c>
      <c r="DT274" s="8"/>
      <c r="EP274" s="19">
        <v>1.3079483012150783E-2</v>
      </c>
    </row>
    <row r="275" spans="1:147" x14ac:dyDescent="0.25">
      <c r="BD275" s="46"/>
      <c r="CE275" s="1">
        <v>7.5</v>
      </c>
      <c r="CF275" s="1">
        <v>7.29</v>
      </c>
      <c r="CL275" s="19"/>
      <c r="EP275" s="19">
        <v>7.6645501222152301E-3</v>
      </c>
    </row>
    <row r="276" spans="1:147" x14ac:dyDescent="0.25">
      <c r="BI276" s="6">
        <v>1</v>
      </c>
      <c r="BJ276" s="6">
        <v>1</v>
      </c>
      <c r="BK276" s="104" t="s">
        <v>523</v>
      </c>
      <c r="BW276" s="69"/>
      <c r="CE276" s="1">
        <v>7.5</v>
      </c>
      <c r="CF276" s="1">
        <v>7.5</v>
      </c>
      <c r="CK276" s="75"/>
      <c r="EP276" s="19">
        <v>6.1350601295095952E-3</v>
      </c>
    </row>
    <row r="277" spans="1:147" x14ac:dyDescent="0.25">
      <c r="BT277" s="1" t="s">
        <v>483</v>
      </c>
      <c r="CJ277" s="22"/>
      <c r="CK277" s="22"/>
    </row>
    <row r="278" spans="1:147" x14ac:dyDescent="0.25">
      <c r="CE278" s="1">
        <f>SUM(CE274:CE276)/3</f>
        <v>6.626666666666666</v>
      </c>
      <c r="CF278" s="1">
        <f>SUM(CF274:CF276)/3</f>
        <v>6.6066666666666665</v>
      </c>
      <c r="EQ278" s="7"/>
    </row>
  </sheetData>
  <autoFilter ref="A5:FP271" xr:uid="{00000000-0001-0000-0000-000000000000}">
    <filterColumn colId="59">
      <colorFilter dxfId="60"/>
    </filterColumn>
    <filterColumn colId="60">
      <colorFilter dxfId="61"/>
    </filterColumn>
    <filterColumn colId="61">
      <colorFilter dxfId="62"/>
    </filterColumn>
    <filterColumn colId="62">
      <colorFilter dxfId="59" cellColor="0"/>
    </filterColumn>
  </autoFilter>
  <sortState xmlns:xlrd2="http://schemas.microsoft.com/office/spreadsheetml/2017/richdata2" ref="A19:FF186">
    <sortCondition descending="1" ref="BY19:BY186"/>
  </sortState>
  <mergeCells count="3">
    <mergeCell ref="EW4:FA4"/>
    <mergeCell ref="FC4:FD4"/>
    <mergeCell ref="EQ4:EU4"/>
  </mergeCells>
  <conditionalFormatting sqref="AY6:AZ271">
    <cfRule type="expression" dxfId="58" priority="163">
      <formula>AY6&gt;AX6</formula>
    </cfRule>
  </conditionalFormatting>
  <conditionalFormatting sqref="BA6:BI271">
    <cfRule type="expression" dxfId="57" priority="97">
      <formula>BA6=AZ6</formula>
    </cfRule>
  </conditionalFormatting>
  <conditionalFormatting sqref="BA6:BJ271">
    <cfRule type="expression" dxfId="56" priority="98">
      <formula>BA6&gt;=AZ6</formula>
    </cfRule>
  </conditionalFormatting>
  <conditionalFormatting sqref="BC4">
    <cfRule type="cellIs" dxfId="55" priority="94" operator="lessThan">
      <formula>0</formula>
    </cfRule>
    <cfRule type="cellIs" dxfId="54" priority="95" operator="greaterThan">
      <formula>0</formula>
    </cfRule>
  </conditionalFormatting>
  <conditionalFormatting sqref="BD275">
    <cfRule type="expression" dxfId="53" priority="17">
      <formula>BD275=BC275</formula>
    </cfRule>
    <cfRule type="expression" dxfId="52" priority="18">
      <formula>BD275&gt;=BC275</formula>
    </cfRule>
  </conditionalFormatting>
  <conditionalFormatting sqref="BE2:BJ2 BE4:BJ4">
    <cfRule type="cellIs" dxfId="51" priority="25" operator="lessThan">
      <formula>0</formula>
    </cfRule>
  </conditionalFormatting>
  <conditionalFormatting sqref="BE2:BJ2">
    <cfRule type="cellIs" dxfId="50" priority="26" operator="greaterThanOrEqual">
      <formula>0</formula>
    </cfRule>
  </conditionalFormatting>
  <conditionalFormatting sqref="BE4:BJ4">
    <cfRule type="cellIs" dxfId="49" priority="90" operator="greaterThan">
      <formula>0</formula>
    </cfRule>
    <cfRule type="cellIs" dxfId="48" priority="91" operator="greaterThan">
      <formula>0</formula>
    </cfRule>
    <cfRule type="cellIs" dxfId="47" priority="279" operator="between">
      <formula>0</formula>
      <formula>0.01</formula>
    </cfRule>
    <cfRule type="expression" dxfId="46" priority="280">
      <formula>BE4=#REF!</formula>
    </cfRule>
  </conditionalFormatting>
  <conditionalFormatting sqref="BP6:BP271">
    <cfRule type="cellIs" dxfId="45" priority="5" operator="greaterThan">
      <formula>0</formula>
    </cfRule>
  </conditionalFormatting>
  <conditionalFormatting sqref="BY1:BY4 BY6:BY1048576">
    <cfRule type="cellIs" dxfId="44" priority="96" operator="between">
      <formula>0</formula>
      <formula>0.009</formula>
    </cfRule>
  </conditionalFormatting>
  <conditionalFormatting sqref="BY1:BY4 BY6:BZ1048576 BJ272:BJ1048576 BW272:BW1048576">
    <cfRule type="cellIs" dxfId="43" priority="100" operator="greaterThan">
      <formula>0.009</formula>
    </cfRule>
  </conditionalFormatting>
  <conditionalFormatting sqref="CE3">
    <cfRule type="cellIs" dxfId="42" priority="3" operator="between">
      <formula>0</formula>
      <formula>0.009</formula>
    </cfRule>
    <cfRule type="cellIs" dxfId="41" priority="4" operator="greaterThan">
      <formula>0.009</formula>
    </cfRule>
  </conditionalFormatting>
  <conditionalFormatting sqref="DL6:DL271">
    <cfRule type="cellIs" dxfId="40" priority="106" operator="greaterThan">
      <formula>0.9</formula>
    </cfRule>
    <cfRule type="cellIs" dxfId="39" priority="107" operator="lessThan">
      <formula>0.1</formula>
    </cfRule>
  </conditionalFormatting>
  <conditionalFormatting sqref="DQ6:DT271">
    <cfRule type="cellIs" dxfId="38" priority="11" operator="greaterThan">
      <formula>0.01</formula>
    </cfRule>
  </conditionalFormatting>
  <conditionalFormatting sqref="EQ6:EQ271">
    <cfRule type="containsText" dxfId="37" priority="55" operator="containsText" text="Bom">
      <formula>NOT(ISERROR(SEARCH("Bom",EQ6)))</formula>
    </cfRule>
  </conditionalFormatting>
  <conditionalFormatting sqref="ER6:ES271">
    <cfRule type="containsText" dxfId="36" priority="52" operator="containsText" text="Baixo">
      <formula>NOT(ISERROR(SEARCH("Baixo",ER6)))</formula>
    </cfRule>
    <cfRule type="containsText" dxfId="35" priority="53" operator="containsText" text="Moderado">
      <formula>NOT(ISERROR(SEARCH("Moderado",ER6)))</formula>
    </cfRule>
    <cfRule type="containsText" dxfId="34" priority="54" operator="containsText" text="Alto">
      <formula>NOT(ISERROR(SEARCH("Alto",ER6)))</formula>
    </cfRule>
  </conditionalFormatting>
  <conditionalFormatting sqref="ES6:ES271">
    <cfRule type="containsText" dxfId="33" priority="38" operator="containsText" text="Risco elevado">
      <formula>NOT(ISERROR(SEARCH("Risco elevado",ES6)))</formula>
    </cfRule>
    <cfRule type="containsText" dxfId="32" priority="39" operator="containsText" text="Estável">
      <formula>NOT(ISERROR(SEARCH("Estável",ES6)))</formula>
    </cfRule>
    <cfRule type="containsText" dxfId="31" priority="40" operator="containsText" text="Alerta">
      <formula>NOT(ISERROR(SEARCH("Alerta",ES6)))</formula>
    </cfRule>
    <cfRule type="containsText" dxfId="30" priority="41" operator="containsText" text="Saudável">
      <formula>NOT(ISERROR(SEARCH("Saudável",ES6)))</formula>
    </cfRule>
  </conditionalFormatting>
  <conditionalFormatting sqref="ET6:ET271">
    <cfRule type="containsText" dxfId="29" priority="50" operator="containsText" text="Ruim">
      <formula>NOT(ISERROR(SEARCH("Ruim",ET6)))</formula>
    </cfRule>
    <cfRule type="containsText" dxfId="28" priority="51" operator="containsText" text="Bom">
      <formula>NOT(ISERROR(SEARCH("Bom",ET6)))</formula>
    </cfRule>
  </conditionalFormatting>
  <conditionalFormatting sqref="EU6:FA271">
    <cfRule type="containsText" dxfId="27" priority="65" operator="containsText" text="Supervalorizada">
      <formula>NOT(ISERROR(SEARCH("Supervalorizada",EU6)))</formula>
    </cfRule>
    <cfRule type="containsText" dxfId="26" priority="66" operator="containsText" text="Atrativa">
      <formula>NOT(ISERROR(SEARCH("Atrativa",EU6)))</formula>
    </cfRule>
    <cfRule type="containsText" dxfId="25" priority="67" operator="containsText" text="Barata">
      <formula>NOT(ISERROR(SEARCH("Barata",EU6)))</formula>
    </cfRule>
    <cfRule type="containsText" dxfId="24" priority="68" operator="containsText" text="Muito barata">
      <formula>NOT(ISERROR(SEARCH("Muito barata",EU6)))</formula>
    </cfRule>
    <cfRule type="containsText" dxfId="23" priority="69" operator="containsText" text="Subvalorizada">
      <formula>NOT(ISERROR(SEARCH("Subvalorizada",EU6)))</formula>
    </cfRule>
  </conditionalFormatting>
  <conditionalFormatting sqref="EW6:EW271">
    <cfRule type="containsText" dxfId="22" priority="48" operator="containsText" text="Fraco retorno">
      <formula>NOT(ISERROR(SEARCH("Fraco retorno",EW6)))</formula>
    </cfRule>
    <cfRule type="containsText" dxfId="21" priority="49" operator="containsText" text="Bom retorno">
      <formula>NOT(ISERROR(SEARCH("Bom retorno",EW6)))</formula>
    </cfRule>
  </conditionalFormatting>
  <conditionalFormatting sqref="EX6:EX271">
    <cfRule type="containsText" dxfId="20" priority="46" operator="containsText" text="Ineficiente">
      <formula>NOT(ISERROR(SEARCH("Ineficiente",EX6)))</formula>
    </cfRule>
    <cfRule type="containsText" dxfId="19" priority="47" operator="containsText" text="Eficiente">
      <formula>NOT(ISERROR(SEARCH("Eficiente",EX6)))</formula>
    </cfRule>
  </conditionalFormatting>
  <conditionalFormatting sqref="EY6:EY271">
    <cfRule type="containsText" dxfId="18" priority="44" operator="containsText" text="Oper.Ineficiente">
      <formula>NOT(ISERROR(SEARCH("Oper.Ineficiente",EY6)))</formula>
    </cfRule>
    <cfRule type="containsText" dxfId="17" priority="45" operator="containsText" text="Oper.Eficiente">
      <formula>NOT(ISERROR(SEARCH("Oper.Eficiente",EY6)))</formula>
    </cfRule>
  </conditionalFormatting>
  <conditionalFormatting sqref="EZ6:EZ271">
    <cfRule type="cellIs" dxfId="16" priority="43" operator="greaterThan">
      <formula>0</formula>
    </cfRule>
  </conditionalFormatting>
  <conditionalFormatting sqref="EZ9">
    <cfRule type="containsText" dxfId="15" priority="42" operator="containsText" text="Risco elevado">
      <formula>NOT(ISERROR(SEARCH("Risco elevado",EZ9)))</formula>
    </cfRule>
  </conditionalFormatting>
  <conditionalFormatting sqref="FA6:FA271">
    <cfRule type="containsText" dxfId="14" priority="56" operator="containsText" text="Muito Bom">
      <formula>NOT(ISERROR(SEARCH("Muito Bom",FA6)))</formula>
    </cfRule>
    <cfRule type="containsText" dxfId="13" priority="57" operator="containsText" text="Bom">
      <formula>NOT(ISERROR(SEARCH("Bom",FA6)))</formula>
    </cfRule>
    <cfRule type="containsText" dxfId="12" priority="58" operator="containsText" text="Fraco">
      <formula>NOT(ISERROR(SEARCH("Fraco",FA6)))</formula>
    </cfRule>
    <cfRule type="containsText" dxfId="11" priority="59" operator="containsText" text="Negativo">
      <formula>NOT(ISERROR(SEARCH("Negativo",FA6)))</formula>
    </cfRule>
    <cfRule type="containsText" dxfId="10" priority="60" operator="containsText" text="Supervalorizada">
      <formula>NOT(ISERROR(SEARCH("Supervalorizada",FA6)))</formula>
    </cfRule>
    <cfRule type="containsText" dxfId="9" priority="61" operator="containsText" text="Atrativa">
      <formula>NOT(ISERROR(SEARCH("Atrativa",FA6)))</formula>
    </cfRule>
    <cfRule type="containsText" dxfId="8" priority="62" operator="containsText" text="Barata">
      <formula>NOT(ISERROR(SEARCH("Barata",FA6)))</formula>
    </cfRule>
    <cfRule type="containsText" dxfId="7" priority="63" operator="containsText" text="Muito barata">
      <formula>NOT(ISERROR(SEARCH("Muito barata",FA6)))</formula>
    </cfRule>
    <cfRule type="containsText" dxfId="6" priority="64" operator="containsText" text="Subvalorizada">
      <formula>NOT(ISERROR(SEARCH("Subvalorizada",FA6)))</formula>
    </cfRule>
  </conditionalFormatting>
  <conditionalFormatting sqref="FC6:FC271">
    <cfRule type="containsText" dxfId="5" priority="74" operator="containsText" text="Ruim">
      <formula>NOT(ISERROR(SEARCH("Ruim",FC6)))</formula>
    </cfRule>
    <cfRule type="containsText" dxfId="4" priority="75" operator="containsText" text="Bom">
      <formula>NOT(ISERROR(SEARCH("Bom",FC6)))</formula>
    </cfRule>
  </conditionalFormatting>
  <conditionalFormatting sqref="FD6:FD271">
    <cfRule type="containsText" dxfId="3" priority="70" operator="containsText" text="Baixa">
      <formula>NOT(ISERROR(SEARCH("Baixa",FD6)))</formula>
    </cfRule>
    <cfRule type="containsText" dxfId="2" priority="71" operator="containsText" text="Moderada">
      <formula>NOT(ISERROR(SEARCH("Moderada",FD6)))</formula>
    </cfRule>
    <cfRule type="containsText" dxfId="1" priority="72" operator="containsText" text="Alta">
      <formula>NOT(ISERROR(SEARCH("Alta",FD6)))</formula>
    </cfRule>
    <cfRule type="containsText" dxfId="0" priority="73" operator="containsText" text="Alerta">
      <formula>NOT(ISERROR(SEARCH("Alerta",FD6)))</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H268"/>
  <sheetViews>
    <sheetView zoomScale="110" zoomScaleNormal="110" workbookViewId="0">
      <selection activeCell="H6" sqref="H6"/>
    </sheetView>
  </sheetViews>
  <sheetFormatPr defaultRowHeight="15" x14ac:dyDescent="0.25"/>
  <cols>
    <col min="2" max="2" width="12.5703125" bestFit="1" customWidth="1"/>
    <col min="3" max="5" width="10.85546875" bestFit="1" customWidth="1"/>
    <col min="6" max="6" width="12.5703125" bestFit="1" customWidth="1"/>
  </cols>
  <sheetData>
    <row r="1" spans="1:8" x14ac:dyDescent="0.25">
      <c r="A1" t="s">
        <v>484</v>
      </c>
      <c r="B1" s="108">
        <v>45808</v>
      </c>
      <c r="C1" s="108">
        <v>45815</v>
      </c>
      <c r="D1" s="108">
        <v>45822</v>
      </c>
      <c r="E1" s="108">
        <v>45829</v>
      </c>
      <c r="F1" s="108">
        <v>45836</v>
      </c>
    </row>
    <row r="2" spans="1:8" x14ac:dyDescent="0.25">
      <c r="A2" s="14" t="str">
        <f>Bovespa!BK6</f>
        <v>EQPA7</v>
      </c>
      <c r="B2" s="14">
        <v>8.25</v>
      </c>
      <c r="C2" s="14">
        <v>8.25</v>
      </c>
      <c r="D2" s="14">
        <v>8.0500000000000007</v>
      </c>
      <c r="E2" s="14">
        <v>8.0500000000000007</v>
      </c>
      <c r="F2" s="14">
        <v>8.0500000000000007</v>
      </c>
    </row>
    <row r="3" spans="1:8" x14ac:dyDescent="0.25">
      <c r="A3" s="14" t="str">
        <f>Bovespa!BK7</f>
        <v>CGRA4</v>
      </c>
      <c r="B3" s="14">
        <v>27.58</v>
      </c>
      <c r="C3" s="14">
        <v>27.49</v>
      </c>
      <c r="D3" s="14">
        <v>29.05</v>
      </c>
      <c r="E3" s="14">
        <v>28.76</v>
      </c>
      <c r="F3" s="14">
        <v>28.38</v>
      </c>
    </row>
    <row r="4" spans="1:8" x14ac:dyDescent="0.25">
      <c r="A4" s="14" t="str">
        <f>Bovespa!BK8</f>
        <v>ISAE4</v>
      </c>
      <c r="B4" s="14">
        <v>23.4</v>
      </c>
      <c r="C4" s="14">
        <v>23.14</v>
      </c>
      <c r="D4" s="14">
        <v>23.12</v>
      </c>
      <c r="E4" s="14">
        <v>23.03</v>
      </c>
      <c r="F4" s="14">
        <v>22.79</v>
      </c>
      <c r="H4" t="s">
        <v>483</v>
      </c>
    </row>
    <row r="5" spans="1:8" x14ac:dyDescent="0.25">
      <c r="A5" s="14" t="str">
        <f>Bovespa!BK9</f>
        <v>BEES3</v>
      </c>
      <c r="B5" s="14">
        <v>8.64</v>
      </c>
      <c r="C5" s="14">
        <v>8.56</v>
      </c>
      <c r="D5" s="14">
        <v>8.58</v>
      </c>
      <c r="E5" s="14">
        <v>8.42</v>
      </c>
      <c r="F5" s="14">
        <v>8.49</v>
      </c>
    </row>
    <row r="6" spans="1:8" x14ac:dyDescent="0.25">
      <c r="A6" s="14" t="str">
        <f>Bovespa!BK10</f>
        <v>ABEV3</v>
      </c>
      <c r="B6" s="14">
        <v>14.03</v>
      </c>
      <c r="C6" s="14">
        <v>14.08</v>
      </c>
      <c r="D6" s="14">
        <v>13.64</v>
      </c>
      <c r="E6" s="14">
        <v>13.53</v>
      </c>
      <c r="F6" s="14">
        <v>13.15</v>
      </c>
    </row>
    <row r="7" spans="1:8" x14ac:dyDescent="0.25">
      <c r="A7" s="14" t="str">
        <f>Bovespa!BK11</f>
        <v>RPMG3</v>
      </c>
      <c r="B7" s="14">
        <v>2.98</v>
      </c>
      <c r="C7" s="14">
        <v>2.9</v>
      </c>
      <c r="D7" s="14">
        <v>2.88</v>
      </c>
      <c r="E7" s="14">
        <v>2.91</v>
      </c>
      <c r="F7" s="14">
        <v>2.9</v>
      </c>
    </row>
    <row r="8" spans="1:8" x14ac:dyDescent="0.25">
      <c r="A8" s="14" t="str">
        <f>Bovespa!BK12</f>
        <v>DMVF3</v>
      </c>
      <c r="B8" s="14">
        <v>5.4</v>
      </c>
      <c r="C8" s="14">
        <v>5.47</v>
      </c>
      <c r="D8" s="14">
        <v>5.07</v>
      </c>
      <c r="E8" s="14">
        <v>4.9400000000000004</v>
      </c>
      <c r="F8" s="14">
        <v>4.99</v>
      </c>
    </row>
    <row r="9" spans="1:8" x14ac:dyDescent="0.25">
      <c r="A9" s="14" t="str">
        <f>Bovespa!BK13</f>
        <v>SLCE3</v>
      </c>
      <c r="B9" s="14">
        <v>18.89</v>
      </c>
      <c r="C9" s="14">
        <v>18.91</v>
      </c>
      <c r="D9" s="14">
        <v>18.489999999999998</v>
      </c>
      <c r="E9" s="14">
        <v>18.45</v>
      </c>
      <c r="F9" s="14">
        <v>17.91</v>
      </c>
    </row>
    <row r="10" spans="1:8" x14ac:dyDescent="0.25">
      <c r="A10" s="14" t="str">
        <f>Bovespa!BK14</f>
        <v>OPCT3</v>
      </c>
      <c r="B10" s="14">
        <v>5.83</v>
      </c>
      <c r="C10" s="14">
        <v>6.25</v>
      </c>
      <c r="D10" s="14">
        <v>6.3</v>
      </c>
      <c r="E10" s="14">
        <v>6.42</v>
      </c>
      <c r="F10" s="14">
        <v>6.85</v>
      </c>
    </row>
    <row r="11" spans="1:8" x14ac:dyDescent="0.25">
      <c r="A11" s="14" t="str">
        <f>Bovespa!BK15</f>
        <v>SANB4</v>
      </c>
      <c r="B11" s="14">
        <v>15.4</v>
      </c>
      <c r="C11" s="14">
        <v>14.98</v>
      </c>
      <c r="D11" s="14">
        <v>15.5</v>
      </c>
      <c r="E11" s="14">
        <v>15.37</v>
      </c>
      <c r="F11" s="14">
        <v>15.34</v>
      </c>
    </row>
    <row r="12" spans="1:8" x14ac:dyDescent="0.25">
      <c r="A12" s="14" t="str">
        <f>Bovespa!BK16</f>
        <v>WHRL4</v>
      </c>
      <c r="B12" s="14">
        <v>4.88</v>
      </c>
      <c r="C12" s="14">
        <v>4.91</v>
      </c>
      <c r="D12" s="14">
        <v>4.95</v>
      </c>
      <c r="E12" s="14">
        <v>4.75</v>
      </c>
      <c r="F12" s="14">
        <v>5.05</v>
      </c>
    </row>
    <row r="13" spans="1:8" x14ac:dyDescent="0.25">
      <c r="A13" s="14" t="str">
        <f>Bovespa!BK17</f>
        <v>TELB4</v>
      </c>
      <c r="B13" s="14">
        <v>8.92</v>
      </c>
      <c r="C13" s="14">
        <v>8.89</v>
      </c>
      <c r="D13" s="14">
        <v>8.64</v>
      </c>
      <c r="E13" s="14">
        <v>8.74</v>
      </c>
      <c r="F13" s="14">
        <v>8.8000000000000007</v>
      </c>
    </row>
    <row r="14" spans="1:8" x14ac:dyDescent="0.25">
      <c r="A14" s="14" t="str">
        <f>Bovespa!BK18</f>
        <v>PETR4</v>
      </c>
      <c r="B14" s="14">
        <v>30.9</v>
      </c>
      <c r="C14" s="14">
        <v>29.63</v>
      </c>
      <c r="D14" s="14">
        <v>32.53</v>
      </c>
      <c r="E14" s="14">
        <v>32.82</v>
      </c>
      <c r="F14" s="14">
        <v>31.21</v>
      </c>
    </row>
    <row r="15" spans="1:8" x14ac:dyDescent="0.25">
      <c r="A15" s="14" t="str">
        <f>Bovespa!BK19</f>
        <v>ASAI3</v>
      </c>
      <c r="B15" s="14">
        <v>11.22</v>
      </c>
      <c r="C15" s="14">
        <v>11.21</v>
      </c>
      <c r="D15" s="14">
        <v>10.91</v>
      </c>
      <c r="E15" s="14">
        <v>10.78</v>
      </c>
      <c r="F15" s="14">
        <v>11.04</v>
      </c>
    </row>
    <row r="16" spans="1:8" x14ac:dyDescent="0.25">
      <c r="A16" s="14" t="str">
        <f>Bovespa!BK20</f>
        <v>SHUL4</v>
      </c>
      <c r="B16" s="14">
        <v>5.46</v>
      </c>
      <c r="C16" s="14">
        <v>5.35</v>
      </c>
      <c r="D16" s="14">
        <v>5.31</v>
      </c>
      <c r="E16" s="14">
        <v>5.26</v>
      </c>
      <c r="F16" s="14">
        <v>5.22</v>
      </c>
    </row>
    <row r="17" spans="1:6" x14ac:dyDescent="0.25">
      <c r="A17" s="14" t="str">
        <f>Bovespa!BK21</f>
        <v>LEVE3</v>
      </c>
      <c r="B17" s="14">
        <v>32.1</v>
      </c>
      <c r="C17" s="14">
        <v>30.5</v>
      </c>
      <c r="D17" s="14">
        <v>30.25</v>
      </c>
      <c r="E17" s="14">
        <v>29.26</v>
      </c>
      <c r="F17" s="14">
        <v>29.55</v>
      </c>
    </row>
    <row r="18" spans="1:6" x14ac:dyDescent="0.25">
      <c r="A18" s="14" t="str">
        <f>Bovespa!BK22</f>
        <v>CPLE6</v>
      </c>
      <c r="B18" s="14">
        <v>12.67</v>
      </c>
      <c r="C18" s="14">
        <v>12.48</v>
      </c>
      <c r="D18" s="14">
        <v>12.39</v>
      </c>
      <c r="E18" s="14">
        <v>12.41</v>
      </c>
      <c r="F18" s="14">
        <v>12.24</v>
      </c>
    </row>
    <row r="19" spans="1:6" x14ac:dyDescent="0.25">
      <c r="A19" s="14" t="str">
        <f>Bovespa!BK23</f>
        <v>CEBR6</v>
      </c>
      <c r="B19" s="14">
        <v>20.95</v>
      </c>
      <c r="C19" s="14">
        <v>21</v>
      </c>
      <c r="D19" s="14">
        <v>21.1</v>
      </c>
      <c r="E19" s="14">
        <v>20.72</v>
      </c>
      <c r="F19" s="14">
        <v>21</v>
      </c>
    </row>
    <row r="20" spans="1:6" x14ac:dyDescent="0.25">
      <c r="A20" s="14" t="str">
        <f>Bovespa!BK24</f>
        <v>PRNR3</v>
      </c>
      <c r="B20" s="14">
        <v>16</v>
      </c>
      <c r="C20" s="14">
        <v>15.89</v>
      </c>
      <c r="D20" s="14">
        <v>15.11</v>
      </c>
      <c r="E20" s="14">
        <v>15.01</v>
      </c>
      <c r="F20" s="14">
        <v>14.62</v>
      </c>
    </row>
    <row r="21" spans="1:6" x14ac:dyDescent="0.25">
      <c r="A21" s="14" t="str">
        <f>Bovespa!BK25</f>
        <v>CMIG4</v>
      </c>
      <c r="B21" s="14">
        <v>10.84</v>
      </c>
      <c r="C21" s="14">
        <v>10.48</v>
      </c>
      <c r="D21" s="14">
        <v>10.57</v>
      </c>
      <c r="E21" s="14">
        <v>10.75</v>
      </c>
      <c r="F21" s="14">
        <v>10.48</v>
      </c>
    </row>
    <row r="22" spans="1:6" x14ac:dyDescent="0.25">
      <c r="A22" s="14" t="str">
        <f>Bovespa!BK26</f>
        <v>BEES4</v>
      </c>
      <c r="B22" s="14">
        <v>8.73</v>
      </c>
      <c r="C22" s="14">
        <v>8.68</v>
      </c>
      <c r="D22" s="14">
        <v>8.65</v>
      </c>
      <c r="E22" s="14">
        <v>8.65</v>
      </c>
      <c r="F22" s="14">
        <v>8.4700000000000006</v>
      </c>
    </row>
    <row r="23" spans="1:6" x14ac:dyDescent="0.25">
      <c r="A23" s="14" t="str">
        <f>Bovespa!BK27</f>
        <v>POMO3</v>
      </c>
      <c r="B23" s="14">
        <v>5.84</v>
      </c>
      <c r="C23" s="14">
        <v>6.03</v>
      </c>
      <c r="D23" s="14">
        <v>6.2</v>
      </c>
      <c r="E23" s="14">
        <v>6.25</v>
      </c>
      <c r="F23" s="14">
        <v>6.46</v>
      </c>
    </row>
    <row r="24" spans="1:6" x14ac:dyDescent="0.25">
      <c r="A24" s="14" t="str">
        <f>Bovespa!BK28</f>
        <v>BMOB3</v>
      </c>
      <c r="B24" s="14">
        <v>19.059999999999999</v>
      </c>
      <c r="C24" s="14">
        <v>20.059999999999999</v>
      </c>
      <c r="D24" s="14">
        <v>19.100000000000001</v>
      </c>
      <c r="E24" s="14">
        <v>19.45</v>
      </c>
      <c r="F24" s="14">
        <v>19.690000000000001</v>
      </c>
    </row>
    <row r="25" spans="1:6" x14ac:dyDescent="0.25">
      <c r="A25" s="14" t="str">
        <f>Bovespa!BK29</f>
        <v>MTSA4</v>
      </c>
      <c r="B25" s="14">
        <v>43.96</v>
      </c>
      <c r="C25" s="14">
        <v>40.89</v>
      </c>
      <c r="D25" s="14">
        <v>42.15</v>
      </c>
      <c r="E25" s="14">
        <v>43.2</v>
      </c>
      <c r="F25" s="14">
        <v>42.23</v>
      </c>
    </row>
    <row r="26" spans="1:6" x14ac:dyDescent="0.25">
      <c r="A26" s="14" t="str">
        <f>Bovespa!BK30</f>
        <v>CAMB3</v>
      </c>
      <c r="B26" s="14">
        <v>9.75</v>
      </c>
      <c r="C26" s="14">
        <v>9.6</v>
      </c>
      <c r="D26" s="14">
        <v>9.7200000000000006</v>
      </c>
      <c r="E26" s="14">
        <v>9.58</v>
      </c>
      <c r="F26" s="14">
        <v>10.06</v>
      </c>
    </row>
    <row r="27" spans="1:6" x14ac:dyDescent="0.25">
      <c r="A27" s="14" t="str">
        <f>Bovespa!BK31</f>
        <v>BRAP3</v>
      </c>
      <c r="B27" s="14">
        <v>14.69</v>
      </c>
      <c r="C27" s="14">
        <v>14.74</v>
      </c>
      <c r="D27" s="14">
        <v>14.5</v>
      </c>
      <c r="E27" s="14">
        <v>14.49</v>
      </c>
      <c r="F27" s="14">
        <v>14.59</v>
      </c>
    </row>
    <row r="28" spans="1:6" x14ac:dyDescent="0.25">
      <c r="A28" s="14" t="str">
        <f>Bovespa!BK32</f>
        <v>HAGA4</v>
      </c>
      <c r="B28" s="14">
        <v>1.24</v>
      </c>
      <c r="C28" s="14">
        <v>1.22</v>
      </c>
      <c r="D28" s="14">
        <v>1.23</v>
      </c>
      <c r="E28" s="14">
        <v>1.23</v>
      </c>
      <c r="F28" s="14">
        <v>1.21</v>
      </c>
    </row>
    <row r="29" spans="1:6" x14ac:dyDescent="0.25">
      <c r="A29" s="14" t="str">
        <f>Bovespa!BK33</f>
        <v>SANB3</v>
      </c>
      <c r="B29" s="14">
        <v>14.07</v>
      </c>
      <c r="C29" s="14">
        <v>13.55</v>
      </c>
      <c r="D29" s="14">
        <v>14.13</v>
      </c>
      <c r="E29" s="14">
        <v>13.99</v>
      </c>
      <c r="F29" s="14">
        <v>13.79</v>
      </c>
    </row>
    <row r="30" spans="1:6" x14ac:dyDescent="0.25">
      <c r="A30" s="14" t="str">
        <f>Bovespa!BK34</f>
        <v>CSUD3</v>
      </c>
      <c r="B30" s="14">
        <v>18.100000000000001</v>
      </c>
      <c r="C30" s="14">
        <v>18.190000000000001</v>
      </c>
      <c r="D30" s="14">
        <v>17.850000000000001</v>
      </c>
      <c r="E30" s="14">
        <v>18.239999999999998</v>
      </c>
      <c r="F30" s="14">
        <v>18.34</v>
      </c>
    </row>
    <row r="31" spans="1:6" x14ac:dyDescent="0.25">
      <c r="A31" s="14" t="str">
        <f>Bovespa!BK35</f>
        <v>BLAU3</v>
      </c>
      <c r="B31" s="14">
        <v>14</v>
      </c>
      <c r="C31" s="14">
        <v>13.9</v>
      </c>
      <c r="D31" s="14">
        <v>13.7</v>
      </c>
      <c r="E31" s="14">
        <v>13.67</v>
      </c>
      <c r="F31" s="14">
        <v>13.43</v>
      </c>
    </row>
    <row r="32" spans="1:6" x14ac:dyDescent="0.25">
      <c r="A32" s="14" t="str">
        <f>Bovespa!BK36</f>
        <v>GGBR3</v>
      </c>
      <c r="B32" s="14">
        <v>14.54</v>
      </c>
      <c r="C32" s="14">
        <v>15.01</v>
      </c>
      <c r="D32" s="14">
        <v>14.96</v>
      </c>
      <c r="E32" s="14">
        <v>14.27</v>
      </c>
      <c r="F32" s="14">
        <v>14.55</v>
      </c>
    </row>
    <row r="33" spans="1:6" x14ac:dyDescent="0.25">
      <c r="A33" s="14" t="str">
        <f>Bovespa!BK37</f>
        <v>CRFB3</v>
      </c>
      <c r="B33" s="14">
        <v>8.48</v>
      </c>
      <c r="C33" s="14">
        <v>8.48</v>
      </c>
      <c r="D33" s="14">
        <v>8.48</v>
      </c>
      <c r="E33" s="14">
        <v>8.48</v>
      </c>
      <c r="F33" s="14">
        <v>8.48</v>
      </c>
    </row>
    <row r="34" spans="1:6" x14ac:dyDescent="0.25">
      <c r="A34" s="14" t="str">
        <f>Bovespa!BK38</f>
        <v>SAPR3</v>
      </c>
      <c r="B34" s="14">
        <v>6.55</v>
      </c>
      <c r="C34" s="14">
        <v>6.69</v>
      </c>
      <c r="D34" s="14">
        <v>7.19</v>
      </c>
      <c r="E34" s="14" t="s">
        <v>525</v>
      </c>
      <c r="F34" s="14">
        <v>7.7</v>
      </c>
    </row>
    <row r="35" spans="1:6" x14ac:dyDescent="0.25">
      <c r="A35" s="14" t="str">
        <f>Bovespa!BK39</f>
        <v>ABCB4</v>
      </c>
      <c r="B35" s="14">
        <v>20.95</v>
      </c>
      <c r="C35" s="14">
        <v>21.44</v>
      </c>
      <c r="D35" s="14">
        <v>21.06</v>
      </c>
      <c r="E35" s="14">
        <v>21.36</v>
      </c>
      <c r="F35" s="14">
        <v>22.2</v>
      </c>
    </row>
    <row r="36" spans="1:6" x14ac:dyDescent="0.25">
      <c r="A36" s="14" t="str">
        <f>Bovespa!BK40</f>
        <v>BRSR6</v>
      </c>
      <c r="B36" s="14">
        <v>12.01</v>
      </c>
      <c r="C36" s="14">
        <v>11.76</v>
      </c>
      <c r="D36" s="14">
        <v>11.44</v>
      </c>
      <c r="E36" s="14">
        <v>11.63</v>
      </c>
      <c r="F36" s="14">
        <v>11.4</v>
      </c>
    </row>
    <row r="37" spans="1:6" x14ac:dyDescent="0.25">
      <c r="A37" s="14" t="str">
        <f>Bovespa!BK41</f>
        <v>PORT3</v>
      </c>
      <c r="B37" s="14">
        <v>17.37</v>
      </c>
      <c r="C37" s="14">
        <v>17.37</v>
      </c>
      <c r="D37" s="14">
        <v>17.440000000000001</v>
      </c>
      <c r="E37" s="14">
        <v>17.5</v>
      </c>
      <c r="F37" s="14">
        <v>17.45</v>
      </c>
    </row>
    <row r="38" spans="1:6" x14ac:dyDescent="0.25">
      <c r="A38" s="14" t="str">
        <f>Bovespa!BK42</f>
        <v>PINE4</v>
      </c>
      <c r="B38" s="14">
        <v>5.3</v>
      </c>
      <c r="C38" s="14">
        <v>5.18</v>
      </c>
      <c r="D38" s="14">
        <v>5.68</v>
      </c>
      <c r="E38" s="14">
        <v>6</v>
      </c>
      <c r="F38" s="14">
        <v>5.86</v>
      </c>
    </row>
    <row r="39" spans="1:6" x14ac:dyDescent="0.25">
      <c r="A39" s="14" t="str">
        <f>Bovespa!BK43</f>
        <v>ITSA3</v>
      </c>
      <c r="B39" s="14">
        <v>11.07</v>
      </c>
      <c r="C39" s="14">
        <v>10.87</v>
      </c>
      <c r="D39" s="14">
        <v>10.73</v>
      </c>
      <c r="E39" s="14">
        <v>10.87</v>
      </c>
      <c r="F39" s="14">
        <v>10.8</v>
      </c>
    </row>
    <row r="40" spans="1:6" x14ac:dyDescent="0.25">
      <c r="A40" s="14" t="str">
        <f>Bovespa!BK44</f>
        <v>MEAL3</v>
      </c>
      <c r="B40" s="14">
        <v>1.19</v>
      </c>
      <c r="C40" s="14">
        <v>1.1399999999999999</v>
      </c>
      <c r="D40" s="14">
        <v>1.1299999999999999</v>
      </c>
      <c r="E40" s="14">
        <v>1.1499999999999999</v>
      </c>
      <c r="F40" s="14">
        <v>1.19</v>
      </c>
    </row>
    <row r="41" spans="1:6" x14ac:dyDescent="0.25">
      <c r="A41" s="14" t="str">
        <f>Bovespa!BK45</f>
        <v>BBSE3</v>
      </c>
      <c r="B41" s="14">
        <v>37.51</v>
      </c>
      <c r="C41" s="14">
        <v>36.44</v>
      </c>
      <c r="D41" s="14">
        <v>35.51</v>
      </c>
      <c r="E41" s="14">
        <v>35.19</v>
      </c>
      <c r="F41" s="14">
        <v>35.229999999999997</v>
      </c>
    </row>
    <row r="42" spans="1:6" x14ac:dyDescent="0.25">
      <c r="A42" s="14" t="str">
        <f>Bovespa!BK46</f>
        <v>GOAU3</v>
      </c>
      <c r="B42" s="14">
        <v>8.57</v>
      </c>
      <c r="C42" s="14">
        <v>9.25</v>
      </c>
      <c r="D42" s="14">
        <v>9.2200000000000006</v>
      </c>
      <c r="E42" s="14">
        <v>9.2799999999999994</v>
      </c>
      <c r="F42" s="14">
        <v>8.86</v>
      </c>
    </row>
    <row r="43" spans="1:6" x14ac:dyDescent="0.25">
      <c r="A43" s="14" t="str">
        <f>Bovespa!BK47</f>
        <v>ITUB4</v>
      </c>
      <c r="B43" s="14">
        <v>37.43</v>
      </c>
      <c r="C43" s="14">
        <v>36.58</v>
      </c>
      <c r="D43" s="14">
        <v>36.17</v>
      </c>
      <c r="E43" s="14">
        <v>36.64</v>
      </c>
      <c r="F43" s="14">
        <v>36.270000000000003</v>
      </c>
    </row>
    <row r="44" spans="1:6" x14ac:dyDescent="0.25">
      <c r="A44" s="14" t="str">
        <f>Bovespa!BK48</f>
        <v>AGRO3</v>
      </c>
      <c r="B44" s="14">
        <v>21.02</v>
      </c>
      <c r="C44" s="14">
        <v>21.25</v>
      </c>
      <c r="D44" s="14">
        <v>20.82</v>
      </c>
      <c r="E44" s="14">
        <v>20.76</v>
      </c>
      <c r="F44" s="14">
        <v>20.05</v>
      </c>
    </row>
    <row r="45" spans="1:6" x14ac:dyDescent="0.25">
      <c r="A45" s="14" t="str">
        <f>Bovespa!BK49</f>
        <v>BMGB4</v>
      </c>
      <c r="B45" s="14">
        <v>3.71</v>
      </c>
      <c r="C45" s="14">
        <v>3.71</v>
      </c>
      <c r="D45" s="14">
        <v>3.67</v>
      </c>
      <c r="E45" s="14">
        <v>3.66</v>
      </c>
      <c r="F45" s="14">
        <v>3.68</v>
      </c>
    </row>
    <row r="46" spans="1:6" x14ac:dyDescent="0.25">
      <c r="A46" s="14" t="str">
        <f>Bovespa!BK50</f>
        <v>LAND3</v>
      </c>
      <c r="B46" s="14">
        <v>11.99</v>
      </c>
      <c r="C46" s="14">
        <v>11.45</v>
      </c>
      <c r="D46" s="14">
        <v>10.98</v>
      </c>
      <c r="E46" s="14">
        <v>10.46</v>
      </c>
      <c r="F46" s="14">
        <v>10.27</v>
      </c>
    </row>
    <row r="47" spans="1:6" x14ac:dyDescent="0.25">
      <c r="A47" s="14" t="str">
        <f>Bovespa!BK51</f>
        <v>GGBR4</v>
      </c>
      <c r="B47" s="14">
        <v>15.25</v>
      </c>
      <c r="C47" s="14">
        <v>16.690000000000001</v>
      </c>
      <c r="D47" s="14">
        <v>16.760000000000002</v>
      </c>
      <c r="E47" s="14">
        <v>16.010000000000002</v>
      </c>
      <c r="F47" s="14">
        <v>15.9</v>
      </c>
    </row>
    <row r="48" spans="1:6" x14ac:dyDescent="0.25">
      <c r="A48" s="14" t="str">
        <f>Bovespa!BK52</f>
        <v>ITSA4</v>
      </c>
      <c r="B48" s="14">
        <v>11.07</v>
      </c>
      <c r="C48" s="14">
        <v>10.81</v>
      </c>
      <c r="D48" s="14">
        <v>10.71</v>
      </c>
      <c r="E48" s="14">
        <v>10.81</v>
      </c>
      <c r="F48" s="14">
        <v>10.71</v>
      </c>
    </row>
    <row r="49" spans="1:6" x14ac:dyDescent="0.25">
      <c r="A49" s="14" t="str">
        <f>Bovespa!BK53</f>
        <v>SMFT3</v>
      </c>
      <c r="B49" s="14">
        <v>24.01</v>
      </c>
      <c r="C49" s="14">
        <v>24.31</v>
      </c>
      <c r="D49" s="14">
        <v>24.17</v>
      </c>
      <c r="E49" s="14">
        <v>23.91</v>
      </c>
      <c r="F49" s="14">
        <v>24.29</v>
      </c>
    </row>
    <row r="50" spans="1:6" x14ac:dyDescent="0.25">
      <c r="A50" s="14" t="str">
        <f>Bovespa!BK54</f>
        <v>FLRY3</v>
      </c>
      <c r="B50" s="14">
        <v>12.85</v>
      </c>
      <c r="C50" s="14">
        <v>13.07</v>
      </c>
      <c r="D50" s="14">
        <v>13.02</v>
      </c>
      <c r="E50" s="14">
        <v>13.06</v>
      </c>
      <c r="F50" s="14">
        <v>12.73</v>
      </c>
    </row>
    <row r="51" spans="1:6" x14ac:dyDescent="0.25">
      <c r="A51" s="14" t="str">
        <f>Bovespa!BK55</f>
        <v>ROMI3</v>
      </c>
      <c r="B51" s="14">
        <v>9.2799999999999994</v>
      </c>
      <c r="C51" s="14">
        <v>9.01</v>
      </c>
      <c r="D51" s="14">
        <v>9.3800000000000008</v>
      </c>
      <c r="E51" s="14">
        <v>8.93</v>
      </c>
      <c r="F51" s="14">
        <v>8.9700000000000006</v>
      </c>
    </row>
    <row r="52" spans="1:6" x14ac:dyDescent="0.25">
      <c r="A52" s="14" t="str">
        <f>Bovespa!BK56</f>
        <v>TAEE4</v>
      </c>
      <c r="B52" s="14">
        <v>11.81</v>
      </c>
      <c r="C52" s="14">
        <v>11.5</v>
      </c>
      <c r="D52" s="14">
        <v>11.36</v>
      </c>
      <c r="E52" s="14">
        <v>11.48</v>
      </c>
      <c r="F52" s="14">
        <v>11.54</v>
      </c>
    </row>
    <row r="53" spans="1:6" x14ac:dyDescent="0.25">
      <c r="A53" s="14" t="str">
        <f>Bovespa!BK57</f>
        <v>RAIL3</v>
      </c>
      <c r="B53" s="14">
        <v>18.82</v>
      </c>
      <c r="C53" s="14">
        <v>19.079999999999998</v>
      </c>
      <c r="D53" s="14">
        <v>19.13</v>
      </c>
      <c r="E53" s="14">
        <v>17.97</v>
      </c>
      <c r="F53" s="14">
        <v>17.96</v>
      </c>
    </row>
    <row r="54" spans="1:6" x14ac:dyDescent="0.25">
      <c r="A54" s="14" t="str">
        <f>Bovespa!BK58</f>
        <v>CYRE3</v>
      </c>
      <c r="B54" s="14">
        <v>24.97</v>
      </c>
      <c r="C54" s="14">
        <v>25.2</v>
      </c>
      <c r="D54" s="14">
        <v>24.4</v>
      </c>
      <c r="E54" s="14">
        <v>25.26</v>
      </c>
      <c r="F54" s="14">
        <v>25.62</v>
      </c>
    </row>
    <row r="55" spans="1:6" x14ac:dyDescent="0.25">
      <c r="A55" s="14" t="str">
        <f>Bovespa!BK59</f>
        <v>CXSE3</v>
      </c>
      <c r="B55" s="14">
        <v>15.07</v>
      </c>
      <c r="C55" s="14">
        <v>14.76</v>
      </c>
      <c r="D55" s="14">
        <v>14.6</v>
      </c>
      <c r="E55" s="14">
        <v>14.2</v>
      </c>
      <c r="F55" s="14">
        <v>14.38</v>
      </c>
    </row>
    <row r="56" spans="1:6" x14ac:dyDescent="0.25">
      <c r="A56" s="14" t="str">
        <f>Bovespa!BK60</f>
        <v>ALLD3</v>
      </c>
      <c r="B56" s="14">
        <v>7.12</v>
      </c>
      <c r="C56" s="14">
        <v>7.16</v>
      </c>
      <c r="D56" s="14">
        <v>7.07</v>
      </c>
      <c r="E56" s="14">
        <v>7.07</v>
      </c>
      <c r="F56" s="14">
        <v>6.84</v>
      </c>
    </row>
    <row r="57" spans="1:6" x14ac:dyDescent="0.25">
      <c r="A57" s="14" t="str">
        <f>Bovespa!BK61</f>
        <v>DEXP3</v>
      </c>
      <c r="B57" s="14">
        <v>9.3800000000000008</v>
      </c>
      <c r="C57" s="14">
        <v>9.23</v>
      </c>
      <c r="D57" s="14">
        <v>8.85</v>
      </c>
      <c r="E57" s="14">
        <v>9.0399999999999991</v>
      </c>
      <c r="F57" s="14">
        <v>9.15</v>
      </c>
    </row>
    <row r="58" spans="1:6" x14ac:dyDescent="0.25">
      <c r="A58" s="14" t="str">
        <f>Bovespa!BK62</f>
        <v>VLID3</v>
      </c>
      <c r="B58" s="14">
        <v>26.96</v>
      </c>
      <c r="C58" s="14">
        <v>25.93</v>
      </c>
      <c r="D58" s="14">
        <v>25.39</v>
      </c>
      <c r="E58" s="14">
        <v>25.56</v>
      </c>
      <c r="F58" s="14">
        <v>25.13</v>
      </c>
    </row>
    <row r="59" spans="1:6" x14ac:dyDescent="0.25">
      <c r="A59" s="14" t="str">
        <f>Bovespa!BK63</f>
        <v>HAGA3</v>
      </c>
      <c r="B59" s="14">
        <v>1.96</v>
      </c>
      <c r="C59" s="14">
        <v>2.0299999999999998</v>
      </c>
      <c r="D59" s="14">
        <v>1.96</v>
      </c>
      <c r="E59" s="14">
        <v>1.93</v>
      </c>
      <c r="F59" s="14">
        <v>1.94</v>
      </c>
    </row>
    <row r="60" spans="1:6" x14ac:dyDescent="0.25">
      <c r="A60" s="14" t="str">
        <f>Bovespa!BK64</f>
        <v>BRAV3</v>
      </c>
      <c r="B60" s="14">
        <v>18.899999999999999</v>
      </c>
      <c r="C60" s="14">
        <v>19.649999999999999</v>
      </c>
      <c r="D60" s="14">
        <v>20.78</v>
      </c>
      <c r="E60" s="14">
        <v>20.32</v>
      </c>
      <c r="F60" s="14">
        <v>17.2</v>
      </c>
    </row>
    <row r="61" spans="1:6" x14ac:dyDescent="0.25">
      <c r="A61" s="14" t="str">
        <f>Bovespa!BK65</f>
        <v>MILS3</v>
      </c>
      <c r="B61" s="14">
        <v>10.66</v>
      </c>
      <c r="C61" s="14">
        <v>10.64</v>
      </c>
      <c r="D61" s="14">
        <v>10.66</v>
      </c>
      <c r="E61" s="14">
        <v>10.4</v>
      </c>
      <c r="F61" s="14">
        <v>10.66</v>
      </c>
    </row>
    <row r="62" spans="1:6" x14ac:dyDescent="0.25">
      <c r="A62" s="14" t="str">
        <f>Bovespa!BK66</f>
        <v>STBP3</v>
      </c>
      <c r="B62" s="14">
        <v>13.68</v>
      </c>
      <c r="C62" s="14">
        <v>13.69</v>
      </c>
      <c r="D62" s="14">
        <v>13.71</v>
      </c>
      <c r="E62" s="14">
        <v>13.69</v>
      </c>
      <c r="F62" s="14">
        <v>13.75</v>
      </c>
    </row>
    <row r="63" spans="1:6" x14ac:dyDescent="0.25">
      <c r="A63" s="14" t="str">
        <f>Bovespa!BK67</f>
        <v>VBBR3</v>
      </c>
      <c r="B63" s="14">
        <v>20.18</v>
      </c>
      <c r="C63" s="14">
        <v>20.13</v>
      </c>
      <c r="D63" s="14">
        <v>21.07</v>
      </c>
      <c r="E63" s="14">
        <v>21.43</v>
      </c>
      <c r="F63" s="14">
        <v>21.21</v>
      </c>
    </row>
    <row r="64" spans="1:6" x14ac:dyDescent="0.25">
      <c r="A64" s="14" t="str">
        <f>Bovespa!BK68</f>
        <v>FRAS3</v>
      </c>
      <c r="B64" s="14">
        <v>26.34</v>
      </c>
      <c r="C64" s="14">
        <v>26.88</v>
      </c>
      <c r="D64" s="14">
        <v>27.03</v>
      </c>
      <c r="E64" s="14">
        <v>26.86</v>
      </c>
      <c r="F64" s="14">
        <v>27.01</v>
      </c>
    </row>
    <row r="65" spans="1:6" x14ac:dyDescent="0.25">
      <c r="A65" s="14" t="str">
        <f>Bovespa!BK69</f>
        <v>ALUP4</v>
      </c>
      <c r="B65" s="14">
        <v>10.14</v>
      </c>
      <c r="C65" s="14">
        <v>9.61</v>
      </c>
      <c r="D65" s="14">
        <v>9.6300000000000008</v>
      </c>
      <c r="E65" s="14">
        <v>9.6199999999999992</v>
      </c>
      <c r="F65" s="14">
        <v>9.83</v>
      </c>
    </row>
    <row r="66" spans="1:6" x14ac:dyDescent="0.25">
      <c r="A66" s="14" t="str">
        <f>Bovespa!BK70</f>
        <v>TRIS3</v>
      </c>
      <c r="B66" s="14">
        <v>7.79</v>
      </c>
      <c r="C66" s="14">
        <v>7.8</v>
      </c>
      <c r="D66" s="14">
        <v>7.64</v>
      </c>
      <c r="E66" s="14">
        <v>7.78</v>
      </c>
      <c r="F66" s="14">
        <v>7.2</v>
      </c>
    </row>
    <row r="67" spans="1:6" x14ac:dyDescent="0.25">
      <c r="A67" s="14" t="str">
        <f>Bovespa!BK71</f>
        <v>TGMA3</v>
      </c>
      <c r="B67" s="14">
        <v>36.729999999999997</v>
      </c>
      <c r="C67" s="14">
        <v>35.85</v>
      </c>
      <c r="D67" s="14">
        <v>36.4</v>
      </c>
      <c r="E67" s="14">
        <v>34.630000000000003</v>
      </c>
      <c r="F67" s="14">
        <v>34.630000000000003</v>
      </c>
    </row>
    <row r="68" spans="1:6" x14ac:dyDescent="0.25">
      <c r="A68" s="14" t="str">
        <f>Bovespa!BK72</f>
        <v>REDE3</v>
      </c>
      <c r="B68" s="14">
        <v>6.8</v>
      </c>
      <c r="C68" s="14">
        <v>6.79</v>
      </c>
      <c r="D68" s="14">
        <v>6.82</v>
      </c>
      <c r="E68" s="14">
        <v>6.77</v>
      </c>
      <c r="F68" s="14">
        <v>6.63</v>
      </c>
    </row>
    <row r="69" spans="1:6" x14ac:dyDescent="0.25">
      <c r="A69" s="14" t="str">
        <f>Bovespa!BK73</f>
        <v>RNEW3</v>
      </c>
      <c r="B69" s="14">
        <v>0.85</v>
      </c>
      <c r="C69" s="14">
        <v>1.3</v>
      </c>
      <c r="D69" s="14">
        <v>1.1599999999999999</v>
      </c>
      <c r="E69" s="14">
        <v>1.1200000000000001</v>
      </c>
      <c r="F69" s="14">
        <v>0.91</v>
      </c>
    </row>
    <row r="70" spans="1:6" x14ac:dyDescent="0.25">
      <c r="A70" s="14" t="str">
        <f>Bovespa!BK74</f>
        <v>CVCB3</v>
      </c>
      <c r="B70" s="14">
        <v>2.37</v>
      </c>
      <c r="C70" s="14">
        <v>2.54</v>
      </c>
      <c r="D70" s="14">
        <v>2.31</v>
      </c>
      <c r="E70" s="14">
        <v>2.29</v>
      </c>
      <c r="F70" s="14">
        <v>2.35</v>
      </c>
    </row>
    <row r="71" spans="1:6" x14ac:dyDescent="0.25">
      <c r="A71" s="14" t="str">
        <f>Bovespa!BK75</f>
        <v>ORVR3</v>
      </c>
      <c r="B71" s="14">
        <v>51.91</v>
      </c>
      <c r="C71" s="14">
        <v>53.21</v>
      </c>
      <c r="D71" s="14">
        <v>51.72</v>
      </c>
      <c r="E71" s="14">
        <v>52.5</v>
      </c>
      <c r="F71" s="14">
        <v>53.51</v>
      </c>
    </row>
    <row r="72" spans="1:6" x14ac:dyDescent="0.25">
      <c r="A72" s="14" t="str">
        <f>Bovespa!BK76</f>
        <v>IRBR3</v>
      </c>
      <c r="B72" s="14">
        <v>49.16</v>
      </c>
      <c r="C72" s="14">
        <v>50.79</v>
      </c>
      <c r="D72" s="14">
        <v>47.05</v>
      </c>
      <c r="E72" s="14">
        <v>47.32</v>
      </c>
      <c r="F72" s="14">
        <v>44.28</v>
      </c>
    </row>
    <row r="73" spans="1:6" x14ac:dyDescent="0.25">
      <c r="A73" s="14" t="str">
        <f>Bovespa!BK77</f>
        <v>EALT4</v>
      </c>
      <c r="B73" s="14">
        <v>14.62</v>
      </c>
      <c r="C73" s="14">
        <v>14.42</v>
      </c>
      <c r="D73" s="14">
        <v>14.65</v>
      </c>
      <c r="E73" s="14">
        <v>14.05</v>
      </c>
      <c r="F73" s="14">
        <v>14.1</v>
      </c>
    </row>
    <row r="74" spans="1:6" x14ac:dyDescent="0.25">
      <c r="A74" s="14" t="str">
        <f>Bovespa!BK78</f>
        <v>GRND3</v>
      </c>
      <c r="B74" s="14">
        <v>5.39</v>
      </c>
      <c r="C74" s="14">
        <v>5.32</v>
      </c>
      <c r="D74" s="14">
        <v>5.5</v>
      </c>
      <c r="E74" s="14">
        <v>5.38</v>
      </c>
      <c r="F74" s="14">
        <v>5.4</v>
      </c>
    </row>
    <row r="75" spans="1:6" x14ac:dyDescent="0.25">
      <c r="A75" s="14" t="str">
        <f>Bovespa!BK79</f>
        <v>BPAN4</v>
      </c>
      <c r="B75" s="14">
        <v>9.1</v>
      </c>
      <c r="C75" s="14">
        <v>8.19</v>
      </c>
      <c r="D75" s="14">
        <v>8.15</v>
      </c>
      <c r="E75" s="14">
        <v>8.1999999999999993</v>
      </c>
      <c r="F75" s="14">
        <v>8.07</v>
      </c>
    </row>
    <row r="76" spans="1:6" x14ac:dyDescent="0.25">
      <c r="A76" s="14" t="str">
        <f>Bovespa!BK80</f>
        <v>WEGE3</v>
      </c>
      <c r="B76" s="14">
        <v>42.35</v>
      </c>
      <c r="C76" s="14">
        <v>42.57</v>
      </c>
      <c r="D76" s="14">
        <v>42.39</v>
      </c>
      <c r="E76" s="14">
        <v>41.64</v>
      </c>
      <c r="F76" s="14">
        <v>42.35</v>
      </c>
    </row>
    <row r="77" spans="1:6" x14ac:dyDescent="0.25">
      <c r="A77" s="14" t="str">
        <f>Bovespa!BK81</f>
        <v>EGIE3</v>
      </c>
      <c r="B77" s="14">
        <v>41.06</v>
      </c>
      <c r="C77" s="14">
        <v>40.6</v>
      </c>
      <c r="D77" s="14">
        <v>40.46</v>
      </c>
      <c r="E77" s="14">
        <v>40.049999999999997</v>
      </c>
      <c r="F77" s="14">
        <v>45.03</v>
      </c>
    </row>
    <row r="78" spans="1:6" x14ac:dyDescent="0.25">
      <c r="A78" s="14" t="str">
        <f>Bovespa!BK82</f>
        <v>JBSS3</v>
      </c>
      <c r="B78" s="14">
        <v>40.119999999999997</v>
      </c>
      <c r="C78" s="14">
        <v>39.03</v>
      </c>
      <c r="D78" s="14">
        <v>39.03</v>
      </c>
      <c r="E78" s="14">
        <v>39.03</v>
      </c>
      <c r="F78" s="14">
        <v>39.03</v>
      </c>
    </row>
    <row r="79" spans="1:6" x14ac:dyDescent="0.25">
      <c r="A79" s="14" t="str">
        <f>Bovespa!BK83</f>
        <v>PFRM3</v>
      </c>
      <c r="B79" s="14">
        <v>8.7200000000000006</v>
      </c>
      <c r="C79" s="14">
        <v>8.43</v>
      </c>
      <c r="D79" s="14">
        <v>8.69</v>
      </c>
      <c r="E79" s="14">
        <v>8.86</v>
      </c>
      <c r="F79" s="14">
        <v>8.52</v>
      </c>
    </row>
    <row r="80" spans="1:6" x14ac:dyDescent="0.25">
      <c r="A80" s="14" t="str">
        <f>Bovespa!BK84</f>
        <v>EQTL3</v>
      </c>
      <c r="B80" s="14">
        <v>36.65</v>
      </c>
      <c r="C80" s="14">
        <v>36.25</v>
      </c>
      <c r="D80" s="14">
        <v>36.4</v>
      </c>
      <c r="E80" s="14">
        <v>35.93</v>
      </c>
      <c r="F80" s="14">
        <v>35.28</v>
      </c>
    </row>
    <row r="81" spans="1:6" x14ac:dyDescent="0.25">
      <c r="A81" s="14" t="str">
        <f>Bovespa!BK85</f>
        <v>NEOE3</v>
      </c>
      <c r="B81" s="14">
        <v>25.05</v>
      </c>
      <c r="C81" s="14">
        <v>24.51</v>
      </c>
      <c r="D81" s="14">
        <v>24.45</v>
      </c>
      <c r="E81" s="14">
        <v>24.99</v>
      </c>
      <c r="F81" s="14">
        <v>24.91</v>
      </c>
    </row>
    <row r="82" spans="1:6" x14ac:dyDescent="0.25">
      <c r="A82" s="14" t="str">
        <f>Bovespa!BK86</f>
        <v>POSI3</v>
      </c>
      <c r="B82" s="14">
        <v>4.72</v>
      </c>
      <c r="C82" s="14">
        <v>4.42</v>
      </c>
      <c r="D82" s="14">
        <v>4.46</v>
      </c>
      <c r="E82" s="14">
        <v>4.28</v>
      </c>
      <c r="F82" s="14">
        <v>4.41</v>
      </c>
    </row>
    <row r="83" spans="1:6" x14ac:dyDescent="0.25">
      <c r="A83" s="14" t="str">
        <f>Bovespa!BK87</f>
        <v>WEST3</v>
      </c>
      <c r="B83" s="14">
        <v>4.3600000000000003</v>
      </c>
      <c r="C83" s="14">
        <v>4.2</v>
      </c>
      <c r="D83" s="14">
        <v>4.25</v>
      </c>
      <c r="E83" s="14">
        <v>4.24</v>
      </c>
      <c r="F83" s="14">
        <v>3.6</v>
      </c>
    </row>
    <row r="84" spans="1:6" x14ac:dyDescent="0.25">
      <c r="A84" s="14" t="str">
        <f>Bovespa!BK88</f>
        <v>MDIA3</v>
      </c>
      <c r="B84" s="14">
        <v>23.78</v>
      </c>
      <c r="C84" s="14">
        <v>23.5</v>
      </c>
      <c r="D84" s="14">
        <v>23.11</v>
      </c>
      <c r="E84" s="14">
        <v>23.33</v>
      </c>
      <c r="F84" s="14">
        <v>23.9</v>
      </c>
    </row>
    <row r="85" spans="1:6" x14ac:dyDescent="0.25">
      <c r="A85" s="14" t="str">
        <f>Bovespa!BK89</f>
        <v>BBDC4</v>
      </c>
      <c r="B85" s="14">
        <v>16.2</v>
      </c>
      <c r="C85" s="14">
        <v>15.96</v>
      </c>
      <c r="D85" s="14">
        <v>16.29</v>
      </c>
      <c r="E85" s="14">
        <v>16.62</v>
      </c>
      <c r="F85" s="14">
        <v>16.57</v>
      </c>
    </row>
    <row r="86" spans="1:6" x14ac:dyDescent="0.25">
      <c r="A86" s="14" t="str">
        <f>Bovespa!BK90</f>
        <v>PSSA3</v>
      </c>
      <c r="B86" s="14">
        <v>52.07</v>
      </c>
      <c r="C86" s="14">
        <v>52.51</v>
      </c>
      <c r="D86" s="14">
        <v>52.99</v>
      </c>
      <c r="E86" s="14">
        <v>53.5</v>
      </c>
      <c r="F86" s="14">
        <v>54.18</v>
      </c>
    </row>
    <row r="87" spans="1:6" x14ac:dyDescent="0.25">
      <c r="A87" s="14" t="str">
        <f>Bovespa!BK91</f>
        <v>RNEW4</v>
      </c>
      <c r="B87" s="14">
        <v>0.84</v>
      </c>
      <c r="C87" s="14">
        <v>1.26</v>
      </c>
      <c r="D87" s="14">
        <v>1.1200000000000001</v>
      </c>
      <c r="E87" s="14">
        <v>1.1100000000000001</v>
      </c>
      <c r="F87" s="14">
        <v>0.88</v>
      </c>
    </row>
    <row r="88" spans="1:6" x14ac:dyDescent="0.25">
      <c r="A88" s="14" t="str">
        <f>Bovespa!BK92</f>
        <v>UNIP6</v>
      </c>
      <c r="B88" s="14">
        <v>60.1</v>
      </c>
      <c r="C88" s="14">
        <v>60.17</v>
      </c>
      <c r="D88" s="14">
        <v>59.11</v>
      </c>
      <c r="E88" s="14">
        <v>58.1</v>
      </c>
      <c r="F88" s="14">
        <v>57.84</v>
      </c>
    </row>
    <row r="89" spans="1:6" x14ac:dyDescent="0.25">
      <c r="A89" s="14" t="str">
        <f>Bovespa!BK93</f>
        <v>EZTC3</v>
      </c>
      <c r="B89" s="14">
        <v>13.33</v>
      </c>
      <c r="C89" s="14">
        <v>13.57</v>
      </c>
      <c r="D89" s="14">
        <v>13.29</v>
      </c>
      <c r="E89" s="14">
        <v>13.04</v>
      </c>
      <c r="F89" s="14">
        <v>13.46</v>
      </c>
    </row>
    <row r="90" spans="1:6" x14ac:dyDescent="0.25">
      <c r="A90" s="14" t="str">
        <f>Bovespa!BK94</f>
        <v>SUZB3</v>
      </c>
      <c r="B90" s="14">
        <v>49.65</v>
      </c>
      <c r="C90" s="14">
        <v>53.42</v>
      </c>
      <c r="D90" s="14">
        <v>54.11</v>
      </c>
      <c r="E90" s="14">
        <v>51.87</v>
      </c>
      <c r="F90" s="14">
        <v>51.15</v>
      </c>
    </row>
    <row r="91" spans="1:6" x14ac:dyDescent="0.25">
      <c r="A91" s="14" t="str">
        <f>Bovespa!BK95</f>
        <v>BMEB4</v>
      </c>
      <c r="B91" s="14">
        <v>39.590000000000003</v>
      </c>
      <c r="C91" s="14">
        <v>39.68</v>
      </c>
      <c r="D91" s="14">
        <v>40.6</v>
      </c>
      <c r="E91" s="14">
        <v>40</v>
      </c>
      <c r="F91" s="14">
        <v>40.01</v>
      </c>
    </row>
    <row r="92" spans="1:6" x14ac:dyDescent="0.25">
      <c r="A92" s="14" t="str">
        <f>Bovespa!BK96</f>
        <v>CPLE3</v>
      </c>
      <c r="B92" s="14">
        <v>11.66</v>
      </c>
      <c r="C92" s="14">
        <v>11.51</v>
      </c>
      <c r="D92" s="14">
        <v>11.56</v>
      </c>
      <c r="E92" s="14">
        <v>11.66</v>
      </c>
      <c r="F92" s="14">
        <v>11.43</v>
      </c>
    </row>
    <row r="93" spans="1:6" x14ac:dyDescent="0.25">
      <c r="A93" s="14" t="str">
        <f>Bovespa!BK97</f>
        <v>PETR3</v>
      </c>
      <c r="B93" s="14">
        <v>32.909999999999997</v>
      </c>
      <c r="C93" s="14">
        <v>31.57</v>
      </c>
      <c r="D93" s="14">
        <v>34.979999999999997</v>
      </c>
      <c r="E93" s="14">
        <v>35.909999999999997</v>
      </c>
      <c r="F93" s="14">
        <v>33.799999999999997</v>
      </c>
    </row>
    <row r="94" spans="1:6" x14ac:dyDescent="0.25">
      <c r="A94" s="14" t="str">
        <f>Bovespa!BK98</f>
        <v>BBDC3</v>
      </c>
      <c r="B94" s="14">
        <v>13.98</v>
      </c>
      <c r="C94" s="14">
        <v>13.78</v>
      </c>
      <c r="D94" s="14">
        <v>14.11</v>
      </c>
      <c r="E94" s="14">
        <v>14.29</v>
      </c>
      <c r="F94" s="14">
        <v>14.28</v>
      </c>
    </row>
    <row r="95" spans="1:6" x14ac:dyDescent="0.25">
      <c r="A95" s="14" t="str">
        <f>Bovespa!BK99</f>
        <v>POMO4</v>
      </c>
      <c r="B95" s="14">
        <v>7.25</v>
      </c>
      <c r="C95" s="14">
        <v>7.33</v>
      </c>
      <c r="D95" s="14">
        <v>7.58</v>
      </c>
      <c r="E95" s="14">
        <v>7.57</v>
      </c>
      <c r="F95" s="14">
        <v>7.89</v>
      </c>
    </row>
    <row r="96" spans="1:6" x14ac:dyDescent="0.25">
      <c r="A96" s="14" t="str">
        <f>Bovespa!BK100</f>
        <v>VALE3</v>
      </c>
      <c r="B96" s="14">
        <v>52.1</v>
      </c>
      <c r="C96" s="14">
        <v>52.98</v>
      </c>
      <c r="D96" s="14">
        <v>52.13</v>
      </c>
      <c r="E96" s="14">
        <v>49.92</v>
      </c>
      <c r="F96" s="14">
        <v>53</v>
      </c>
    </row>
    <row r="97" spans="1:6" x14ac:dyDescent="0.25">
      <c r="A97" s="14" t="str">
        <f>Bovespa!BK101</f>
        <v>RADL3</v>
      </c>
      <c r="B97" s="14">
        <v>14.85</v>
      </c>
      <c r="C97" s="14">
        <v>15.15</v>
      </c>
      <c r="D97" s="14">
        <v>13.88</v>
      </c>
      <c r="E97" s="14">
        <v>14</v>
      </c>
      <c r="F97" s="14">
        <v>14.99</v>
      </c>
    </row>
    <row r="98" spans="1:6" x14ac:dyDescent="0.25">
      <c r="A98" s="14" t="str">
        <f>Bovespa!BK102</f>
        <v>GGPS3</v>
      </c>
      <c r="B98" s="14">
        <v>15</v>
      </c>
      <c r="C98" s="14">
        <v>15.08</v>
      </c>
      <c r="D98" s="14">
        <v>14.85</v>
      </c>
      <c r="E98" s="14">
        <v>15.05</v>
      </c>
      <c r="F98" s="14">
        <v>15.17</v>
      </c>
    </row>
    <row r="99" spans="1:6" x14ac:dyDescent="0.25">
      <c r="A99" s="14" t="str">
        <f>Bovespa!BK103</f>
        <v>HBSA3</v>
      </c>
      <c r="B99" s="14">
        <v>3.18</v>
      </c>
      <c r="C99" s="14">
        <v>3.3</v>
      </c>
      <c r="D99" s="14">
        <v>3.7</v>
      </c>
      <c r="E99" s="14">
        <v>3.7</v>
      </c>
      <c r="F99" s="14">
        <v>3.61</v>
      </c>
    </row>
    <row r="100" spans="1:6" x14ac:dyDescent="0.25">
      <c r="A100" s="14" t="str">
        <f>Bovespa!BK104</f>
        <v>CCRO3</v>
      </c>
      <c r="B100" s="14">
        <v>13.48</v>
      </c>
      <c r="C100" s="14">
        <v>13.35</v>
      </c>
      <c r="D100" s="14">
        <v>13.37</v>
      </c>
      <c r="E100" s="14">
        <v>13.51</v>
      </c>
      <c r="F100" s="14">
        <v>13.51</v>
      </c>
    </row>
    <row r="101" spans="1:6" x14ac:dyDescent="0.25">
      <c r="A101" s="14" t="str">
        <f>Bovespa!BK105</f>
        <v>MELK3</v>
      </c>
      <c r="B101" s="14">
        <v>3.41</v>
      </c>
      <c r="C101" s="14">
        <v>3.44</v>
      </c>
      <c r="D101" s="14">
        <v>3.33</v>
      </c>
      <c r="E101" s="14">
        <v>3.29</v>
      </c>
      <c r="F101" s="14">
        <v>3.27</v>
      </c>
    </row>
    <row r="102" spans="1:6" x14ac:dyDescent="0.25">
      <c r="A102" s="14" t="str">
        <f>Bovespa!BK106</f>
        <v>CPFE3</v>
      </c>
      <c r="B102" s="14">
        <v>40.49</v>
      </c>
      <c r="C102" s="14">
        <v>40.520000000000003</v>
      </c>
      <c r="D102" s="14">
        <v>40.5</v>
      </c>
      <c r="E102" s="14">
        <v>40.28</v>
      </c>
      <c r="F102" s="14">
        <v>40.33</v>
      </c>
    </row>
    <row r="103" spans="1:6" x14ac:dyDescent="0.25">
      <c r="A103" s="14" t="str">
        <f>Bovespa!BK107</f>
        <v>SBSP3</v>
      </c>
      <c r="B103" s="14">
        <v>117.38</v>
      </c>
      <c r="C103" s="14">
        <v>114.96</v>
      </c>
      <c r="D103" s="14">
        <v>115.11</v>
      </c>
      <c r="E103" s="14">
        <v>115.65</v>
      </c>
      <c r="F103" s="14">
        <v>115.05</v>
      </c>
    </row>
    <row r="104" spans="1:6" x14ac:dyDescent="0.25">
      <c r="A104" s="14" t="str">
        <f>Bovespa!BK108</f>
        <v>SOJA3</v>
      </c>
      <c r="B104" s="14">
        <v>11.2</v>
      </c>
      <c r="C104" s="14">
        <v>11.33</v>
      </c>
      <c r="D104" s="14">
        <v>11.42</v>
      </c>
      <c r="E104" s="14">
        <v>11.53</v>
      </c>
      <c r="F104" s="14">
        <v>11.42</v>
      </c>
    </row>
    <row r="105" spans="1:6" x14ac:dyDescent="0.25">
      <c r="A105" s="14" t="str">
        <f>Bovespa!BK109</f>
        <v>PTNT4</v>
      </c>
      <c r="B105" s="14">
        <v>4.66</v>
      </c>
      <c r="C105" s="14">
        <v>4.57</v>
      </c>
      <c r="D105" s="14">
        <v>4.88</v>
      </c>
      <c r="E105" s="14">
        <v>4.9000000000000004</v>
      </c>
      <c r="F105" s="14">
        <v>4.7300000000000004</v>
      </c>
    </row>
    <row r="106" spans="1:6" x14ac:dyDescent="0.25">
      <c r="A106" s="14" t="str">
        <f>Bovespa!BK110</f>
        <v>DESK3</v>
      </c>
      <c r="B106" s="14">
        <v>9.4600000000000009</v>
      </c>
      <c r="C106" s="14">
        <v>9.36</v>
      </c>
      <c r="D106" s="14">
        <v>9.5</v>
      </c>
      <c r="E106" s="14">
        <v>9.73</v>
      </c>
      <c r="F106" s="14">
        <v>9.4600000000000009</v>
      </c>
    </row>
    <row r="107" spans="1:6" x14ac:dyDescent="0.25">
      <c r="A107" s="14" t="str">
        <f>Bovespa!BK111</f>
        <v>IGTI3</v>
      </c>
      <c r="B107" s="14">
        <v>2.72</v>
      </c>
      <c r="C107" s="14">
        <v>2.69</v>
      </c>
      <c r="D107" s="14">
        <v>2.65</v>
      </c>
      <c r="E107" s="14">
        <v>2.6</v>
      </c>
      <c r="F107" s="14">
        <v>2.77</v>
      </c>
    </row>
    <row r="108" spans="1:6" x14ac:dyDescent="0.25">
      <c r="A108" s="14" t="str">
        <f>Bovespa!BK112</f>
        <v>IGTI3</v>
      </c>
      <c r="B108" s="14">
        <v>2.72</v>
      </c>
      <c r="C108" s="14">
        <v>2.69</v>
      </c>
      <c r="D108" s="14">
        <v>2.65</v>
      </c>
      <c r="E108" s="14">
        <v>2.6</v>
      </c>
      <c r="F108" s="14">
        <v>2.77</v>
      </c>
    </row>
    <row r="109" spans="1:6" x14ac:dyDescent="0.25">
      <c r="A109" s="14" t="str">
        <f>Bovespa!BK113</f>
        <v>KEPL3</v>
      </c>
      <c r="B109" s="14">
        <v>7.56</v>
      </c>
      <c r="C109" s="14">
        <v>7.56</v>
      </c>
      <c r="D109" s="14">
        <v>7.56</v>
      </c>
      <c r="E109" s="14">
        <v>7.56</v>
      </c>
      <c r="F109" s="14">
        <v>7.56</v>
      </c>
    </row>
    <row r="110" spans="1:6" x14ac:dyDescent="0.25">
      <c r="A110" s="14" t="str">
        <f>Bovespa!BK114</f>
        <v>LREN3</v>
      </c>
      <c r="B110" s="14">
        <v>18.16</v>
      </c>
      <c r="C110" s="14">
        <v>17.559999999999999</v>
      </c>
      <c r="D110" s="14">
        <v>18.36</v>
      </c>
      <c r="E110" s="14">
        <v>18.559999999999999</v>
      </c>
      <c r="F110" s="14">
        <v>19.559999999999999</v>
      </c>
    </row>
    <row r="111" spans="1:6" x14ac:dyDescent="0.25">
      <c r="A111" s="14" t="str">
        <f>Bovespa!BK115</f>
        <v>MRFG3</v>
      </c>
      <c r="B111" s="14">
        <v>25.41</v>
      </c>
      <c r="C111" s="14">
        <v>24.53</v>
      </c>
      <c r="D111" s="14">
        <v>25.18</v>
      </c>
      <c r="E111" s="14">
        <v>23.32</v>
      </c>
      <c r="F111" s="14">
        <v>22.5</v>
      </c>
    </row>
    <row r="112" spans="1:6" x14ac:dyDescent="0.25">
      <c r="A112" s="14" t="str">
        <f>Bovespa!BK116</f>
        <v>JFEN3</v>
      </c>
      <c r="B112" s="14">
        <v>1.94</v>
      </c>
      <c r="C112" s="14">
        <v>1.93</v>
      </c>
      <c r="D112" s="14">
        <v>1.94</v>
      </c>
      <c r="E112" s="14">
        <v>1.91</v>
      </c>
      <c r="F112" s="14">
        <v>1.85</v>
      </c>
    </row>
    <row r="113" spans="1:6" x14ac:dyDescent="0.25">
      <c r="A113" s="14" t="str">
        <f>Bovespa!BK117</f>
        <v>USIM3</v>
      </c>
      <c r="B113" s="14">
        <v>5.0999999999999996</v>
      </c>
      <c r="C113" s="14">
        <v>5.13</v>
      </c>
      <c r="D113" s="14">
        <v>4.76</v>
      </c>
      <c r="E113" s="14">
        <v>4.4400000000000004</v>
      </c>
      <c r="F113" s="14">
        <v>4.2</v>
      </c>
    </row>
    <row r="114" spans="1:6" x14ac:dyDescent="0.25">
      <c r="A114" s="14" t="str">
        <f>Bovespa!BK118</f>
        <v>CURY3</v>
      </c>
      <c r="B114" s="14">
        <v>28.66</v>
      </c>
      <c r="C114" s="14">
        <v>29.61</v>
      </c>
      <c r="D114" s="14">
        <v>29.09</v>
      </c>
      <c r="E114" s="14">
        <v>29.15</v>
      </c>
      <c r="F114" s="14">
        <v>29.2</v>
      </c>
    </row>
    <row r="115" spans="1:6" x14ac:dyDescent="0.25">
      <c r="A115" s="14" t="str">
        <f>Bovespa!BK119</f>
        <v>UGPA3</v>
      </c>
      <c r="B115" s="14">
        <v>16.29</v>
      </c>
      <c r="C115" s="14">
        <v>16.190000000000001</v>
      </c>
      <c r="D115" s="14">
        <v>16.989999999999998</v>
      </c>
      <c r="E115" s="14">
        <v>17.09</v>
      </c>
      <c r="F115" s="14">
        <v>16.86</v>
      </c>
    </row>
    <row r="116" spans="1:6" x14ac:dyDescent="0.25">
      <c r="A116" s="14" t="str">
        <f>Bovespa!BK120</f>
        <v>DXCO3</v>
      </c>
      <c r="B116" s="14">
        <v>5.55</v>
      </c>
      <c r="C116" s="14">
        <v>5.68</v>
      </c>
      <c r="D116" s="14">
        <v>5.55</v>
      </c>
      <c r="E116" s="14">
        <v>5.68</v>
      </c>
      <c r="F116" s="14">
        <v>5.68</v>
      </c>
    </row>
    <row r="117" spans="1:6" x14ac:dyDescent="0.25">
      <c r="A117" s="14" t="str">
        <f>Bovespa!BK121</f>
        <v>TEND3</v>
      </c>
      <c r="B117" s="14">
        <v>23.09</v>
      </c>
      <c r="C117" s="14">
        <v>24.62</v>
      </c>
      <c r="D117" s="14">
        <v>23.1</v>
      </c>
      <c r="E117" s="14">
        <v>23.68</v>
      </c>
      <c r="F117" s="14">
        <v>24.45</v>
      </c>
    </row>
    <row r="118" spans="1:6" x14ac:dyDescent="0.25">
      <c r="A118" s="14" t="str">
        <f>Bovespa!BK122</f>
        <v>ELET3</v>
      </c>
      <c r="B118" s="14">
        <v>41.96</v>
      </c>
      <c r="C118" s="14">
        <v>41.31</v>
      </c>
      <c r="D118" s="14">
        <v>41.3</v>
      </c>
      <c r="E118" s="14">
        <v>40.049999999999997</v>
      </c>
      <c r="F118" s="14">
        <v>39.700000000000003</v>
      </c>
    </row>
    <row r="119" spans="1:6" x14ac:dyDescent="0.25">
      <c r="A119" s="14" t="str">
        <f>Bovespa!BK123</f>
        <v>WIZC3</v>
      </c>
      <c r="B119" s="14">
        <v>7.19</v>
      </c>
      <c r="C119" s="14">
        <v>7.39</v>
      </c>
      <c r="D119" s="14">
        <v>7.65</v>
      </c>
      <c r="E119" s="14">
        <v>7.89</v>
      </c>
      <c r="F119" s="14">
        <v>7.72</v>
      </c>
    </row>
    <row r="120" spans="1:6" x14ac:dyDescent="0.25">
      <c r="A120" s="14" t="str">
        <f>Bovespa!BK124</f>
        <v>SAPR4</v>
      </c>
      <c r="B120" s="14">
        <v>6.51</v>
      </c>
      <c r="C120" s="14">
        <v>6.57</v>
      </c>
      <c r="D120" s="14">
        <v>7.06</v>
      </c>
      <c r="E120" s="14">
        <v>7.29</v>
      </c>
      <c r="F120" s="14">
        <v>7.5</v>
      </c>
    </row>
    <row r="121" spans="1:6" x14ac:dyDescent="0.25">
      <c r="A121" s="14" t="str">
        <f>Bovespa!BK125</f>
        <v>NTCO3</v>
      </c>
      <c r="B121" s="14">
        <v>10.47</v>
      </c>
      <c r="C121" s="14">
        <v>10.54</v>
      </c>
      <c r="D121" s="14">
        <v>10.24</v>
      </c>
      <c r="E121" s="14">
        <v>10.5</v>
      </c>
      <c r="F121" s="14">
        <v>10.87</v>
      </c>
    </row>
    <row r="122" spans="1:6" x14ac:dyDescent="0.25">
      <c r="A122" s="14" t="str">
        <f>Bovespa!BK126</f>
        <v>EVEN3</v>
      </c>
      <c r="B122" s="14">
        <v>7.19</v>
      </c>
      <c r="C122" s="14">
        <v>7.49</v>
      </c>
      <c r="D122" s="14">
        <v>7.11</v>
      </c>
      <c r="E122" s="14">
        <v>7.33</v>
      </c>
      <c r="F122" s="14">
        <v>7.34</v>
      </c>
    </row>
    <row r="123" spans="1:6" x14ac:dyDescent="0.25">
      <c r="A123" s="14" t="str">
        <f>Bovespa!BK127</f>
        <v>ITUB3</v>
      </c>
      <c r="B123" s="14">
        <v>33.369999999999997</v>
      </c>
      <c r="C123" s="14">
        <v>32.51</v>
      </c>
      <c r="D123" s="14">
        <v>32.229999999999997</v>
      </c>
      <c r="E123" s="14">
        <v>32.49</v>
      </c>
      <c r="F123" s="14">
        <v>32.26</v>
      </c>
    </row>
    <row r="124" spans="1:6" x14ac:dyDescent="0.25">
      <c r="A124" s="14" t="str">
        <f>Bovespa!BK128</f>
        <v>UCAS3</v>
      </c>
      <c r="B124" s="14">
        <v>1.55</v>
      </c>
      <c r="C124" s="14">
        <v>1.53</v>
      </c>
      <c r="D124" s="14">
        <v>1.5</v>
      </c>
      <c r="E124" s="14">
        <v>1.49</v>
      </c>
      <c r="F124" s="14">
        <v>1.42</v>
      </c>
    </row>
    <row r="125" spans="1:6" x14ac:dyDescent="0.25">
      <c r="A125" s="14" t="str">
        <f>Bovespa!BK129</f>
        <v>USIM5</v>
      </c>
      <c r="B125" s="14">
        <v>5.2</v>
      </c>
      <c r="C125" s="14">
        <v>5.18</v>
      </c>
      <c r="D125" s="14">
        <v>4.7699999999999996</v>
      </c>
      <c r="E125" s="14">
        <v>4.4000000000000004</v>
      </c>
      <c r="F125" s="14">
        <v>4.1500000000000004</v>
      </c>
    </row>
    <row r="126" spans="1:6" x14ac:dyDescent="0.25">
      <c r="A126" s="14" t="str">
        <f>Bovespa!BK130</f>
        <v>JALL3</v>
      </c>
      <c r="B126" s="14">
        <v>4.0999999999999996</v>
      </c>
      <c r="C126" s="14">
        <v>4.09</v>
      </c>
      <c r="D126" s="14">
        <v>4.08</v>
      </c>
      <c r="E126" s="14">
        <v>4.0999999999999996</v>
      </c>
      <c r="F126" s="14">
        <v>3.9</v>
      </c>
    </row>
    <row r="127" spans="1:6" x14ac:dyDescent="0.25">
      <c r="A127" s="14" t="str">
        <f>Bovespa!BK131</f>
        <v>BRAP4</v>
      </c>
      <c r="B127" s="14">
        <v>15.6</v>
      </c>
      <c r="C127" s="14">
        <v>15.87</v>
      </c>
      <c r="D127" s="14">
        <v>15.61</v>
      </c>
      <c r="E127" s="14">
        <v>15.07</v>
      </c>
      <c r="F127" s="14">
        <v>15.61</v>
      </c>
    </row>
    <row r="128" spans="1:6" x14ac:dyDescent="0.25">
      <c r="A128" s="14" t="str">
        <f>Bovespa!BK132</f>
        <v>CSMG3</v>
      </c>
      <c r="B128" s="14">
        <v>23.88</v>
      </c>
      <c r="C128" s="14">
        <v>24.29</v>
      </c>
      <c r="D128" s="14">
        <v>26.52</v>
      </c>
      <c r="E128" s="14">
        <v>27.51</v>
      </c>
      <c r="F128" s="14">
        <v>27.75</v>
      </c>
    </row>
    <row r="129" spans="1:6" x14ac:dyDescent="0.25">
      <c r="A129" s="14" t="str">
        <f>Bovespa!BK133</f>
        <v>RENT3</v>
      </c>
      <c r="B129" s="14">
        <v>42.96</v>
      </c>
      <c r="C129" s="14">
        <v>43.8</v>
      </c>
      <c r="D129" s="14">
        <v>44.02</v>
      </c>
      <c r="E129" s="14">
        <v>43.26</v>
      </c>
      <c r="F129" s="14">
        <v>40.549999999999997</v>
      </c>
    </row>
    <row r="130" spans="1:6" x14ac:dyDescent="0.25">
      <c r="A130" s="14" t="str">
        <f>Bovespa!BK134</f>
        <v>RAPT4</v>
      </c>
      <c r="B130" s="14">
        <v>9.07</v>
      </c>
      <c r="C130" s="14">
        <v>8.99</v>
      </c>
      <c r="D130" s="14">
        <v>8.65</v>
      </c>
      <c r="E130" s="14">
        <v>8.8000000000000007</v>
      </c>
      <c r="F130" s="14">
        <v>8.6199999999999992</v>
      </c>
    </row>
    <row r="131" spans="1:6" x14ac:dyDescent="0.25">
      <c r="A131" s="14" t="str">
        <f>Bovespa!BK135</f>
        <v>RAPT3</v>
      </c>
      <c r="B131" s="14">
        <v>8.02</v>
      </c>
      <c r="C131" s="14">
        <v>8.15</v>
      </c>
      <c r="D131" s="14">
        <v>8.0299999999999994</v>
      </c>
      <c r="E131" s="14">
        <v>8.3000000000000007</v>
      </c>
      <c r="F131" s="14">
        <v>8.23</v>
      </c>
    </row>
    <row r="132" spans="1:6" x14ac:dyDescent="0.25">
      <c r="A132" s="14" t="str">
        <f>Bovespa!BK136</f>
        <v>MBLY3</v>
      </c>
      <c r="B132" s="14">
        <v>0.98</v>
      </c>
      <c r="C132" s="14">
        <v>0.97</v>
      </c>
      <c r="D132" s="14">
        <v>0.96</v>
      </c>
      <c r="E132" s="14">
        <v>0.99</v>
      </c>
      <c r="F132" s="14">
        <v>0.89</v>
      </c>
    </row>
    <row r="133" spans="1:6" x14ac:dyDescent="0.25">
      <c r="A133" s="14" t="str">
        <f>Bovespa!BK137</f>
        <v>GOAU4</v>
      </c>
      <c r="B133" s="14">
        <v>8.36</v>
      </c>
      <c r="C133" s="14">
        <v>9.2200000000000006</v>
      </c>
      <c r="D133" s="14">
        <v>9.19</v>
      </c>
      <c r="E133" s="14">
        <v>8.91</v>
      </c>
      <c r="F133" s="14">
        <v>8.82</v>
      </c>
    </row>
    <row r="134" spans="1:6" x14ac:dyDescent="0.25">
      <c r="A134" s="14" t="str">
        <f>Bovespa!BK138</f>
        <v>DOHL4</v>
      </c>
      <c r="B134" s="14">
        <v>3.85</v>
      </c>
      <c r="C134" s="14">
        <v>3.99</v>
      </c>
      <c r="D134" s="14">
        <v>3.98</v>
      </c>
      <c r="E134" s="14">
        <v>3.83</v>
      </c>
      <c r="F134" s="14">
        <v>3.95</v>
      </c>
    </row>
    <row r="135" spans="1:6" x14ac:dyDescent="0.25">
      <c r="A135" s="14" t="str">
        <f>Bovespa!BK139</f>
        <v>BRFS3</v>
      </c>
      <c r="B135" s="14">
        <v>20.3</v>
      </c>
      <c r="C135" s="14">
        <v>20.52</v>
      </c>
      <c r="D135" s="14">
        <v>21</v>
      </c>
      <c r="E135" s="14">
        <v>20.79</v>
      </c>
      <c r="F135" s="14">
        <v>19.899999999999999</v>
      </c>
    </row>
    <row r="136" spans="1:6" x14ac:dyDescent="0.25">
      <c r="A136" s="14" t="str">
        <f>Bovespa!BK140</f>
        <v>INTB3</v>
      </c>
      <c r="B136" s="14">
        <v>14.7</v>
      </c>
      <c r="C136" s="14">
        <v>14.01</v>
      </c>
      <c r="D136" s="14">
        <v>14.87</v>
      </c>
      <c r="E136" s="14">
        <v>15.67</v>
      </c>
      <c r="F136" s="14">
        <v>16</v>
      </c>
    </row>
    <row r="137" spans="1:6" x14ac:dyDescent="0.25">
      <c r="A137" s="14" t="str">
        <f>Bovespa!BK141</f>
        <v>CBAV3</v>
      </c>
      <c r="B137" s="14">
        <v>4.7</v>
      </c>
      <c r="C137" s="14">
        <v>4.37</v>
      </c>
      <c r="D137" s="14">
        <v>4.3099999999999996</v>
      </c>
      <c r="E137" s="14">
        <v>4.2</v>
      </c>
      <c r="F137" s="14">
        <v>4.84</v>
      </c>
    </row>
    <row r="138" spans="1:6" x14ac:dyDescent="0.25">
      <c r="A138" s="14" t="str">
        <f>Bovespa!BK142</f>
        <v>KLBN3</v>
      </c>
      <c r="B138" s="14">
        <v>3.8</v>
      </c>
      <c r="C138" s="14">
        <v>3.85</v>
      </c>
      <c r="D138" s="14">
        <v>3.85</v>
      </c>
      <c r="E138" s="14">
        <v>3.63</v>
      </c>
      <c r="F138" s="14">
        <v>3.68</v>
      </c>
    </row>
    <row r="139" spans="1:6" x14ac:dyDescent="0.25">
      <c r="A139" s="14" t="str">
        <f>Bovespa!BK143</f>
        <v>GMAT3</v>
      </c>
      <c r="B139" s="14">
        <v>7.99</v>
      </c>
      <c r="C139" s="14">
        <v>7.82</v>
      </c>
      <c r="D139" s="14">
        <v>7.78</v>
      </c>
      <c r="E139" s="14">
        <v>7.73</v>
      </c>
      <c r="F139" s="14">
        <v>7.9</v>
      </c>
    </row>
    <row r="140" spans="1:6" x14ac:dyDescent="0.25">
      <c r="A140" s="14" t="str">
        <f>Bovespa!BK144</f>
        <v>TIMS3</v>
      </c>
      <c r="B140" s="14">
        <v>19.489999999999998</v>
      </c>
      <c r="C140" s="14">
        <v>20.149999999999999</v>
      </c>
      <c r="D140" s="14">
        <v>20.56</v>
      </c>
      <c r="E140" s="14">
        <v>21.52</v>
      </c>
      <c r="F140" s="14">
        <v>21.33</v>
      </c>
    </row>
    <row r="141" spans="1:6" x14ac:dyDescent="0.25">
      <c r="A141" s="14" t="str">
        <f>Bovespa!BK145</f>
        <v>BPAC3</v>
      </c>
      <c r="B141" s="14">
        <v>22.27</v>
      </c>
      <c r="C141" s="14">
        <v>22.5</v>
      </c>
      <c r="D141" s="14">
        <v>22.84</v>
      </c>
      <c r="E141" s="14">
        <v>22.61</v>
      </c>
      <c r="F141" s="14">
        <v>22.56</v>
      </c>
    </row>
    <row r="142" spans="1:6" x14ac:dyDescent="0.25">
      <c r="A142" s="14" t="str">
        <f>Bovespa!BK146</f>
        <v>VIVA3</v>
      </c>
      <c r="B142" s="14">
        <v>25.99</v>
      </c>
      <c r="C142" s="14">
        <v>24.62</v>
      </c>
      <c r="D142" s="14">
        <v>24.36</v>
      </c>
      <c r="E142" s="14">
        <v>25.47</v>
      </c>
      <c r="F142" s="14">
        <v>26.18</v>
      </c>
    </row>
    <row r="143" spans="1:6" x14ac:dyDescent="0.25">
      <c r="A143" s="14" t="str">
        <f>Bovespa!BK147</f>
        <v>LOGG3</v>
      </c>
      <c r="B143" s="14">
        <v>21.14</v>
      </c>
      <c r="C143" s="14">
        <v>21.56</v>
      </c>
      <c r="D143" s="14">
        <v>20.73</v>
      </c>
      <c r="E143" s="14">
        <v>20.73</v>
      </c>
      <c r="F143" s="14">
        <v>20.72</v>
      </c>
    </row>
    <row r="144" spans="1:6" x14ac:dyDescent="0.25">
      <c r="A144" s="14" t="str">
        <f>Bovespa!BK148</f>
        <v>QUAL3</v>
      </c>
      <c r="B144" s="14">
        <v>2.13</v>
      </c>
      <c r="C144" s="14">
        <v>2.1</v>
      </c>
      <c r="D144" s="14">
        <v>1.91</v>
      </c>
      <c r="E144" s="14">
        <v>1.77</v>
      </c>
      <c r="F144" s="14">
        <v>1.83</v>
      </c>
    </row>
    <row r="145" spans="1:6" x14ac:dyDescent="0.25">
      <c r="A145" s="14" t="str">
        <f>Bovespa!BK149</f>
        <v>PNVL3</v>
      </c>
      <c r="B145" s="14">
        <v>8.6999999999999993</v>
      </c>
      <c r="C145" s="14">
        <v>8.4</v>
      </c>
      <c r="D145" s="14">
        <v>8.18</v>
      </c>
      <c r="E145" s="14">
        <v>8.9600000000000009</v>
      </c>
      <c r="F145" s="14">
        <v>9.52</v>
      </c>
    </row>
    <row r="146" spans="1:6" x14ac:dyDescent="0.25">
      <c r="A146" s="14" t="str">
        <f>Bovespa!BK150</f>
        <v>CLSA3</v>
      </c>
      <c r="B146" s="14">
        <v>10.74</v>
      </c>
      <c r="C146" s="14">
        <v>10.74</v>
      </c>
      <c r="D146" s="14">
        <v>10.77</v>
      </c>
      <c r="E146" s="14">
        <v>10.8</v>
      </c>
      <c r="F146" s="14">
        <v>11</v>
      </c>
    </row>
    <row r="147" spans="1:6" x14ac:dyDescent="0.25">
      <c r="A147" s="14" t="str">
        <f>Bovespa!BK151</f>
        <v>KLBN4</v>
      </c>
      <c r="B147" s="14">
        <v>3.67</v>
      </c>
      <c r="C147" s="14">
        <v>3.64</v>
      </c>
      <c r="D147" s="14">
        <v>3.64</v>
      </c>
      <c r="E147" s="14">
        <v>3.5</v>
      </c>
      <c r="F147" s="14">
        <v>3.58</v>
      </c>
    </row>
    <row r="148" spans="1:6" x14ac:dyDescent="0.25">
      <c r="A148" s="14" t="str">
        <f>Bovespa!BK152</f>
        <v>BPAC5</v>
      </c>
      <c r="B148" s="14">
        <v>8.44</v>
      </c>
      <c r="C148" s="14">
        <v>8.64</v>
      </c>
      <c r="D148" s="14">
        <v>8.8000000000000007</v>
      </c>
      <c r="E148" s="14">
        <v>9</v>
      </c>
      <c r="F148" s="14">
        <v>9.39</v>
      </c>
    </row>
    <row r="149" spans="1:6" x14ac:dyDescent="0.25">
      <c r="A149" s="14" t="str">
        <f>Bovespa!BK153</f>
        <v>DIRR3</v>
      </c>
      <c r="B149" s="14">
        <v>40.659999999999997</v>
      </c>
      <c r="C149" s="14">
        <v>40.71</v>
      </c>
      <c r="D149" s="14">
        <v>39.46</v>
      </c>
      <c r="E149" s="14">
        <v>42.15</v>
      </c>
      <c r="F149" s="14">
        <v>42.44</v>
      </c>
    </row>
    <row r="150" spans="1:6" x14ac:dyDescent="0.25">
      <c r="A150" s="14" t="str">
        <f>Bovespa!BK154</f>
        <v>MYPK3</v>
      </c>
      <c r="B150" s="14">
        <v>12.15</v>
      </c>
      <c r="C150" s="14">
        <v>12.59</v>
      </c>
      <c r="D150" s="14">
        <v>13.1</v>
      </c>
      <c r="E150" s="14">
        <v>12.9</v>
      </c>
      <c r="F150" s="14">
        <v>13.36</v>
      </c>
    </row>
    <row r="151" spans="1:6" x14ac:dyDescent="0.25">
      <c r="A151" s="14" t="str">
        <f>Bovespa!BK155</f>
        <v>RDOR3</v>
      </c>
      <c r="B151" s="14">
        <v>37.78</v>
      </c>
      <c r="C151" s="14">
        <v>35.840000000000003</v>
      </c>
      <c r="D151" s="14">
        <v>35.1</v>
      </c>
      <c r="E151" s="14">
        <v>34.799999999999997</v>
      </c>
      <c r="F151" s="14">
        <v>34.9</v>
      </c>
    </row>
    <row r="152" spans="1:6" x14ac:dyDescent="0.25">
      <c r="A152" s="14" t="str">
        <f>Bovespa!BK156</f>
        <v>VIVT3</v>
      </c>
      <c r="B152" s="14">
        <v>28.66</v>
      </c>
      <c r="C152" s="14">
        <v>28.78</v>
      </c>
      <c r="D152" s="14">
        <v>29.79</v>
      </c>
      <c r="E152" s="14">
        <v>30.28</v>
      </c>
      <c r="F152" s="14">
        <v>30.4</v>
      </c>
    </row>
    <row r="153" spans="1:6" x14ac:dyDescent="0.25">
      <c r="A153" s="14" t="str">
        <f>Bovespa!BK157</f>
        <v>PGMN3</v>
      </c>
      <c r="B153" s="14">
        <v>3.48</v>
      </c>
      <c r="C153" s="14">
        <v>3.43</v>
      </c>
      <c r="D153" s="14">
        <v>3.34</v>
      </c>
      <c r="E153" s="14">
        <v>3.43</v>
      </c>
      <c r="F153" s="14">
        <v>3.43</v>
      </c>
    </row>
    <row r="154" spans="1:6" x14ac:dyDescent="0.25">
      <c r="A154" s="14" t="str">
        <f>Bovespa!BK158</f>
        <v>TFCO4</v>
      </c>
      <c r="B154" s="14">
        <v>14.49</v>
      </c>
      <c r="C154" s="14">
        <v>14.64</v>
      </c>
      <c r="D154" s="14">
        <v>14.98</v>
      </c>
      <c r="E154" s="14">
        <v>14.36</v>
      </c>
      <c r="F154" s="14">
        <v>14.55</v>
      </c>
    </row>
    <row r="155" spans="1:6" x14ac:dyDescent="0.25">
      <c r="A155" s="14" t="str">
        <f>Bovespa!BK159</f>
        <v>ENEV3</v>
      </c>
      <c r="B155" s="14">
        <v>13.97</v>
      </c>
      <c r="C155" s="14">
        <v>13.85</v>
      </c>
      <c r="D155" s="14">
        <v>13.57</v>
      </c>
      <c r="E155" s="14">
        <v>13.75</v>
      </c>
      <c r="F155" s="14">
        <v>13.51</v>
      </c>
    </row>
    <row r="156" spans="1:6" x14ac:dyDescent="0.25">
      <c r="A156" s="14" t="str">
        <f>Bovespa!BK160</f>
        <v>LIGT3</v>
      </c>
      <c r="B156" s="14">
        <v>6.2</v>
      </c>
      <c r="C156" s="14">
        <v>6.78</v>
      </c>
      <c r="D156" s="14">
        <v>7.02</v>
      </c>
      <c r="E156" s="14">
        <v>7.19</v>
      </c>
      <c r="F156" s="14">
        <v>6.83</v>
      </c>
    </row>
    <row r="157" spans="1:6" x14ac:dyDescent="0.25">
      <c r="A157" s="14" t="str">
        <f>Bovespa!BK161</f>
        <v>CSED3</v>
      </c>
      <c r="B157" s="14">
        <v>5.28</v>
      </c>
      <c r="C157" s="14">
        <v>4.97</v>
      </c>
      <c r="D157" s="14">
        <v>5.2</v>
      </c>
      <c r="E157" s="14">
        <v>5.17</v>
      </c>
      <c r="F157" s="14">
        <v>5.0999999999999996</v>
      </c>
    </row>
    <row r="158" spans="1:6" x14ac:dyDescent="0.25">
      <c r="A158" s="14" t="str">
        <f>Bovespa!BK162</f>
        <v>MULT3</v>
      </c>
      <c r="B158" s="14">
        <v>26.88</v>
      </c>
      <c r="C158" s="14">
        <v>26.26</v>
      </c>
      <c r="D158" s="14">
        <v>25.7</v>
      </c>
      <c r="E158" s="14">
        <v>25.85</v>
      </c>
      <c r="F158" s="14">
        <v>27.04</v>
      </c>
    </row>
    <row r="159" spans="1:6" x14ac:dyDescent="0.25">
      <c r="A159" s="14" t="str">
        <f>Bovespa!BK163</f>
        <v>AURE3</v>
      </c>
      <c r="B159" s="14">
        <v>9.8800000000000008</v>
      </c>
      <c r="C159" s="14">
        <v>9.9</v>
      </c>
      <c r="D159" s="14">
        <v>10.02</v>
      </c>
      <c r="E159" s="14">
        <v>9.8000000000000007</v>
      </c>
      <c r="F159" s="14">
        <v>9.98</v>
      </c>
    </row>
    <row r="160" spans="1:6" x14ac:dyDescent="0.25">
      <c r="A160" s="14" t="str">
        <f>Bovespa!BK164</f>
        <v>TUPY3</v>
      </c>
      <c r="B160" s="14">
        <v>19.25</v>
      </c>
      <c r="C160" s="14">
        <v>18.48</v>
      </c>
      <c r="D160" s="14">
        <v>19.079999999999998</v>
      </c>
      <c r="E160" s="14">
        <v>18.190000000000001</v>
      </c>
      <c r="F160" s="14">
        <v>18.2</v>
      </c>
    </row>
    <row r="161" spans="1:6" x14ac:dyDescent="0.25">
      <c r="A161" s="14" t="str">
        <f>Bovespa!BK165</f>
        <v>SCAR3</v>
      </c>
      <c r="B161" s="14">
        <v>17</v>
      </c>
      <c r="C161" s="14">
        <v>16.739999999999998</v>
      </c>
      <c r="D161" s="14">
        <v>16.989999999999998</v>
      </c>
      <c r="E161" s="14">
        <v>16.93</v>
      </c>
      <c r="F161" s="14">
        <v>17.04</v>
      </c>
    </row>
    <row r="162" spans="1:6" x14ac:dyDescent="0.25">
      <c r="A162" s="14" t="str">
        <f>Bovespa!BK166</f>
        <v>LWSA3</v>
      </c>
      <c r="B162" s="14">
        <v>3.76</v>
      </c>
      <c r="C162" s="14">
        <v>3.93</v>
      </c>
      <c r="D162" s="14">
        <v>4.08</v>
      </c>
      <c r="E162" s="14">
        <v>4.13</v>
      </c>
      <c r="F162" s="14">
        <v>4.0599999999999996</v>
      </c>
    </row>
    <row r="163" spans="1:6" x14ac:dyDescent="0.25">
      <c r="A163" s="14" t="str">
        <f>Bovespa!BK167</f>
        <v>LPSB3</v>
      </c>
      <c r="B163" s="14">
        <v>1.75</v>
      </c>
      <c r="C163" s="14">
        <v>1.66</v>
      </c>
      <c r="D163" s="14">
        <v>1.65</v>
      </c>
      <c r="E163" s="14">
        <v>1.64</v>
      </c>
      <c r="F163" s="14">
        <v>1.67</v>
      </c>
    </row>
    <row r="164" spans="1:6" x14ac:dyDescent="0.25">
      <c r="A164" s="14" t="str">
        <f>Bovespa!BK168</f>
        <v>MTRE3</v>
      </c>
      <c r="B164" s="14">
        <v>4.03</v>
      </c>
      <c r="C164" s="14">
        <v>3.88</v>
      </c>
      <c r="D164" s="14">
        <v>3.99</v>
      </c>
      <c r="E164" s="14">
        <v>4</v>
      </c>
      <c r="F164" s="14">
        <v>3.87</v>
      </c>
    </row>
    <row r="165" spans="1:6" x14ac:dyDescent="0.25">
      <c r="A165" s="14" t="str">
        <f>Bovespa!BK169</f>
        <v>EMBR3</v>
      </c>
      <c r="B165" s="14">
        <v>65.489999999999995</v>
      </c>
      <c r="C165" s="14">
        <v>64.510000000000005</v>
      </c>
      <c r="D165" s="14">
        <v>66.44</v>
      </c>
      <c r="E165" s="14">
        <v>72.53</v>
      </c>
      <c r="F165" s="14">
        <v>74.64</v>
      </c>
    </row>
    <row r="166" spans="1:6" x14ac:dyDescent="0.25">
      <c r="A166" s="14" t="str">
        <f>Bovespa!BK170</f>
        <v>ENGI4</v>
      </c>
      <c r="B166" s="14">
        <v>8.89</v>
      </c>
      <c r="C166" s="14">
        <v>8.64</v>
      </c>
      <c r="D166" s="14">
        <v>8.52</v>
      </c>
      <c r="E166" s="14">
        <v>8.69</v>
      </c>
      <c r="F166" s="14">
        <v>8.86</v>
      </c>
    </row>
    <row r="167" spans="1:6" x14ac:dyDescent="0.25">
      <c r="A167" s="14" t="str">
        <f>Bovespa!BK171</f>
        <v>ANIM3</v>
      </c>
      <c r="B167" s="14">
        <v>4.25</v>
      </c>
      <c r="C167" s="14">
        <v>3.95</v>
      </c>
      <c r="D167" s="14">
        <v>4.03</v>
      </c>
      <c r="E167" s="14">
        <v>4.0599999999999996</v>
      </c>
      <c r="F167" s="14">
        <v>4.1500000000000004</v>
      </c>
    </row>
    <row r="168" spans="1:6" x14ac:dyDescent="0.25">
      <c r="A168" s="14" t="str">
        <f>Bovespa!BK172</f>
        <v>PRIO3</v>
      </c>
      <c r="B168" s="14">
        <v>38.950000000000003</v>
      </c>
      <c r="C168" s="14">
        <v>42.51</v>
      </c>
      <c r="D168" s="14">
        <v>43.98</v>
      </c>
      <c r="E168" s="14">
        <v>43.56</v>
      </c>
      <c r="F168" s="14">
        <v>41.87</v>
      </c>
    </row>
    <row r="169" spans="1:6" x14ac:dyDescent="0.25">
      <c r="A169" s="14" t="str">
        <f>Bovespa!BK173</f>
        <v>ODPV3</v>
      </c>
      <c r="B169" s="14">
        <v>11</v>
      </c>
      <c r="C169" s="14">
        <v>10.99</v>
      </c>
      <c r="D169" s="14">
        <v>10.85</v>
      </c>
      <c r="E169" s="14">
        <v>11.61</v>
      </c>
      <c r="F169" s="14">
        <v>11.61</v>
      </c>
    </row>
    <row r="170" spans="1:6" x14ac:dyDescent="0.25">
      <c r="A170" s="14" t="str">
        <f>Bovespa!BK174</f>
        <v>RECV3</v>
      </c>
      <c r="B170" s="14">
        <v>14.47</v>
      </c>
      <c r="C170" s="14">
        <v>14.5</v>
      </c>
      <c r="D170" s="14">
        <v>15.56</v>
      </c>
      <c r="E170" s="14">
        <v>15.79</v>
      </c>
      <c r="F170" s="14">
        <v>14.33</v>
      </c>
    </row>
    <row r="171" spans="1:6" x14ac:dyDescent="0.25">
      <c r="A171" s="14" t="str">
        <f>Bovespa!BK175</f>
        <v>MDNE3</v>
      </c>
      <c r="B171" s="14">
        <v>20.66</v>
      </c>
      <c r="C171" s="14">
        <v>23</v>
      </c>
      <c r="D171" s="14">
        <v>22.7</v>
      </c>
      <c r="E171" s="14">
        <v>21.28</v>
      </c>
      <c r="F171" s="14">
        <v>21.89</v>
      </c>
    </row>
    <row r="172" spans="1:6" x14ac:dyDescent="0.25">
      <c r="A172" s="14" t="str">
        <f>Bovespa!BK176</f>
        <v>RCSL4</v>
      </c>
      <c r="B172" s="14">
        <v>1.1599999999999999</v>
      </c>
      <c r="C172" s="14">
        <v>1.03</v>
      </c>
      <c r="D172" s="14">
        <v>0.98</v>
      </c>
      <c r="E172" s="14">
        <v>1.02</v>
      </c>
      <c r="F172" s="14">
        <v>0.96</v>
      </c>
    </row>
    <row r="173" spans="1:6" x14ac:dyDescent="0.25">
      <c r="A173" s="14" t="str">
        <f>Bovespa!BK177</f>
        <v>TPIS3</v>
      </c>
      <c r="B173" s="14">
        <v>4.04</v>
      </c>
      <c r="C173" s="14">
        <v>4.05</v>
      </c>
      <c r="D173" s="14">
        <v>4</v>
      </c>
      <c r="E173" s="14">
        <v>4.0999999999999996</v>
      </c>
      <c r="F173" s="14">
        <v>3.99</v>
      </c>
    </row>
    <row r="174" spans="1:6" x14ac:dyDescent="0.25">
      <c r="A174" s="14" t="str">
        <f>Bovespa!BK178</f>
        <v>TASA4</v>
      </c>
      <c r="B174" s="14">
        <v>7.7</v>
      </c>
      <c r="C174" s="14">
        <v>7.22</v>
      </c>
      <c r="D174" s="14">
        <v>7.18</v>
      </c>
      <c r="E174" s="14">
        <v>7.13</v>
      </c>
      <c r="F174" s="14">
        <v>6.82</v>
      </c>
    </row>
    <row r="175" spans="1:6" x14ac:dyDescent="0.25">
      <c r="A175" s="14" t="str">
        <f>Bovespa!BK179</f>
        <v>SNSY5</v>
      </c>
      <c r="B175" s="14">
        <v>4.46</v>
      </c>
      <c r="C175" s="14">
        <v>4.4800000000000004</v>
      </c>
      <c r="D175" s="14">
        <v>4.34</v>
      </c>
      <c r="E175" s="14">
        <v>4.4000000000000004</v>
      </c>
      <c r="F175" s="14">
        <v>4.12</v>
      </c>
    </row>
    <row r="176" spans="1:6" x14ac:dyDescent="0.25">
      <c r="A176" s="14" t="str">
        <f>Bovespa!BK180</f>
        <v>LAVV3</v>
      </c>
      <c r="B176" s="14">
        <v>11.6</v>
      </c>
      <c r="C176" s="14">
        <v>11.92</v>
      </c>
      <c r="D176" s="14">
        <v>11.84</v>
      </c>
      <c r="E176" s="14">
        <v>12.02</v>
      </c>
      <c r="F176" s="14">
        <v>12.1</v>
      </c>
    </row>
    <row r="177" spans="1:6" x14ac:dyDescent="0.25">
      <c r="A177" s="14" t="str">
        <f>Bovespa!BK181</f>
        <v>ALPA3</v>
      </c>
      <c r="B177" s="14">
        <v>8.9499999999999993</v>
      </c>
      <c r="C177" s="14">
        <v>8.6999999999999993</v>
      </c>
      <c r="D177" s="14">
        <v>9.18</v>
      </c>
      <c r="E177" s="14">
        <v>8.64</v>
      </c>
      <c r="F177" s="14">
        <v>8.73</v>
      </c>
    </row>
    <row r="178" spans="1:6" x14ac:dyDescent="0.25">
      <c r="A178" s="14" t="str">
        <f>Bovespa!BK182</f>
        <v>LVTC3</v>
      </c>
      <c r="B178" s="14">
        <v>3.4</v>
      </c>
      <c r="C178" s="14">
        <v>3.21</v>
      </c>
      <c r="D178" s="14">
        <v>3.86</v>
      </c>
      <c r="E178" s="14">
        <v>3.71</v>
      </c>
      <c r="F178" s="14">
        <v>3.6</v>
      </c>
    </row>
    <row r="179" spans="1:6" x14ac:dyDescent="0.25">
      <c r="A179" s="14" t="str">
        <f>Bovespa!BK183</f>
        <v>BEEF3</v>
      </c>
      <c r="B179" s="14">
        <v>5.04</v>
      </c>
      <c r="C179" s="14">
        <v>4.9000000000000004</v>
      </c>
      <c r="D179" s="14">
        <v>4.8600000000000003</v>
      </c>
      <c r="E179" s="14">
        <v>4.87</v>
      </c>
      <c r="F179" s="14">
        <v>4.82</v>
      </c>
    </row>
    <row r="180" spans="1:6" x14ac:dyDescent="0.25">
      <c r="A180" s="14" t="str">
        <f>Bovespa!BK184</f>
        <v>ALPA4</v>
      </c>
      <c r="B180" s="14">
        <v>9.18</v>
      </c>
      <c r="C180" s="14">
        <v>8.93</v>
      </c>
      <c r="D180" s="14">
        <v>9.15</v>
      </c>
      <c r="E180" s="14">
        <v>9.06</v>
      </c>
      <c r="F180" s="14">
        <v>9.23</v>
      </c>
    </row>
    <row r="181" spans="1:6" x14ac:dyDescent="0.25">
      <c r="A181" s="14" t="str">
        <f>Bovespa!BK185</f>
        <v>MLAS3</v>
      </c>
      <c r="B181" s="14">
        <v>1.04</v>
      </c>
      <c r="C181" s="14">
        <v>1.07</v>
      </c>
      <c r="D181" s="14">
        <v>1.07</v>
      </c>
      <c r="E181" s="14">
        <v>1.08</v>
      </c>
      <c r="F181" s="14">
        <v>1.08</v>
      </c>
    </row>
    <row r="182" spans="1:6" x14ac:dyDescent="0.25">
      <c r="A182" s="14" t="str">
        <f>Bovespa!BK186</f>
        <v>EUCA4</v>
      </c>
      <c r="B182" s="14">
        <v>18.79</v>
      </c>
      <c r="C182" s="14">
        <v>18.8</v>
      </c>
      <c r="D182" s="14">
        <v>18.399999999999999</v>
      </c>
      <c r="E182" s="14">
        <v>18.39</v>
      </c>
      <c r="F182" s="14">
        <v>18.7</v>
      </c>
    </row>
    <row r="183" spans="1:6" x14ac:dyDescent="0.25">
      <c r="A183" s="14" t="str">
        <f>Bovespa!BK187</f>
        <v>B3SA3</v>
      </c>
      <c r="B183" s="14">
        <v>13.95</v>
      </c>
      <c r="C183" s="14">
        <v>13.57</v>
      </c>
      <c r="D183" s="14">
        <v>13.05</v>
      </c>
      <c r="E183" s="14">
        <v>13.62</v>
      </c>
      <c r="F183" s="14">
        <v>14.12</v>
      </c>
    </row>
    <row r="184" spans="1:6" x14ac:dyDescent="0.25">
      <c r="A184" s="14" t="str">
        <f>Bovespa!BK188</f>
        <v>KRSA3</v>
      </c>
      <c r="B184" s="14">
        <v>8.8699999999999992</v>
      </c>
      <c r="C184" s="14">
        <v>8.8699999999999992</v>
      </c>
      <c r="D184" s="14">
        <v>8.8699999999999992</v>
      </c>
      <c r="E184" s="14">
        <v>8.8699999999999992</v>
      </c>
      <c r="F184" s="14">
        <v>8.8699999999999992</v>
      </c>
    </row>
    <row r="185" spans="1:6" x14ac:dyDescent="0.25">
      <c r="A185" s="14" t="str">
        <f>Bovespa!BK189</f>
        <v>BOBR4</v>
      </c>
      <c r="B185" s="14">
        <v>1.68</v>
      </c>
      <c r="C185" s="14">
        <v>1.57</v>
      </c>
      <c r="D185" s="14">
        <v>1.59</v>
      </c>
      <c r="E185" s="14">
        <v>1.59</v>
      </c>
      <c r="F185" s="14">
        <v>1.58</v>
      </c>
    </row>
    <row r="186" spans="1:6" x14ac:dyDescent="0.25">
      <c r="A186" s="14" t="str">
        <f>Bovespa!BK190</f>
        <v>ETER3</v>
      </c>
      <c r="B186" s="14">
        <v>4.29</v>
      </c>
      <c r="C186" s="14">
        <v>4.08</v>
      </c>
      <c r="D186" s="14">
        <v>4.03</v>
      </c>
      <c r="E186" s="14">
        <v>4.01</v>
      </c>
      <c r="F186" s="14">
        <v>4.01</v>
      </c>
    </row>
    <row r="187" spans="1:6" x14ac:dyDescent="0.25">
      <c r="A187" s="14" t="str">
        <f>Bovespa!BK191</f>
        <v>ESPA3</v>
      </c>
      <c r="B187" s="14">
        <v>1</v>
      </c>
      <c r="C187" s="14">
        <v>1.01</v>
      </c>
      <c r="D187" s="14">
        <v>1.02</v>
      </c>
      <c r="E187" s="14">
        <v>1.03</v>
      </c>
      <c r="F187" s="14">
        <v>1.03</v>
      </c>
    </row>
    <row r="188" spans="1:6" x14ac:dyDescent="0.25">
      <c r="A188" s="14" t="str">
        <f>Bovespa!BK192</f>
        <v>MATD3</v>
      </c>
      <c r="B188" s="14">
        <v>4.74</v>
      </c>
      <c r="C188" s="14">
        <v>4.66</v>
      </c>
      <c r="D188" s="14">
        <v>4.4000000000000004</v>
      </c>
      <c r="E188" s="14">
        <v>4.7300000000000004</v>
      </c>
      <c r="F188" s="14">
        <v>4.59</v>
      </c>
    </row>
    <row r="189" spans="1:6" x14ac:dyDescent="0.25">
      <c r="A189" s="14" t="str">
        <f>Bovespa!BK193</f>
        <v>TRAD3</v>
      </c>
      <c r="B189" s="14">
        <v>9</v>
      </c>
      <c r="C189" s="14">
        <v>8.19</v>
      </c>
      <c r="D189" s="14">
        <v>7.2</v>
      </c>
      <c r="E189" s="14">
        <v>7.85</v>
      </c>
      <c r="F189" s="14">
        <v>7.27</v>
      </c>
    </row>
    <row r="190" spans="1:6" x14ac:dyDescent="0.25">
      <c r="A190" s="14" t="str">
        <f>Bovespa!BK194</f>
        <v>VULC3</v>
      </c>
      <c r="B190" s="14">
        <v>20.3</v>
      </c>
      <c r="C190" s="14">
        <v>19.61</v>
      </c>
      <c r="D190" s="14">
        <v>19.5</v>
      </c>
      <c r="E190" s="14">
        <v>19.7</v>
      </c>
      <c r="F190" s="14">
        <v>20.71</v>
      </c>
    </row>
    <row r="191" spans="1:6" x14ac:dyDescent="0.25">
      <c r="A191" s="14" t="str">
        <f>Bovespa!BK195</f>
        <v>LUPA3</v>
      </c>
      <c r="B191" s="14">
        <v>1.22</v>
      </c>
      <c r="C191" s="14">
        <v>1.22</v>
      </c>
      <c r="D191" s="14">
        <v>1.21</v>
      </c>
      <c r="E191" s="14">
        <v>1.2</v>
      </c>
      <c r="F191" s="14">
        <v>1.21</v>
      </c>
    </row>
    <row r="192" spans="1:6" x14ac:dyDescent="0.25">
      <c r="A192" s="14" t="str">
        <f>Bovespa!BK196</f>
        <v>ECOR3</v>
      </c>
      <c r="B192" s="14">
        <v>6.75</v>
      </c>
      <c r="C192" s="14">
        <v>6.99</v>
      </c>
      <c r="D192" s="14">
        <v>7.19</v>
      </c>
      <c r="E192" s="14">
        <v>7.49</v>
      </c>
      <c r="F192" s="14">
        <v>7.37</v>
      </c>
    </row>
    <row r="193" spans="1:6" x14ac:dyDescent="0.25">
      <c r="A193" s="14" t="str">
        <f>Bovespa!BK197</f>
        <v>PDGR3</v>
      </c>
      <c r="B193" s="14">
        <v>0.34</v>
      </c>
      <c r="C193" s="14">
        <v>0.27</v>
      </c>
      <c r="D193" s="14">
        <v>0.3</v>
      </c>
      <c r="E193" s="14">
        <v>0.27</v>
      </c>
      <c r="F193" s="14">
        <v>0.3</v>
      </c>
    </row>
    <row r="194" spans="1:6" x14ac:dyDescent="0.25">
      <c r="A194" s="14" t="str">
        <f>Bovespa!BK198</f>
        <v>COCE5</v>
      </c>
      <c r="B194" s="14">
        <v>26.83</v>
      </c>
      <c r="C194" s="14">
        <v>25.99</v>
      </c>
      <c r="D194" s="14">
        <v>25.4</v>
      </c>
      <c r="E194" s="14">
        <v>26.4</v>
      </c>
      <c r="F194" s="14">
        <v>26.17</v>
      </c>
    </row>
    <row r="195" spans="1:6" x14ac:dyDescent="0.25">
      <c r="A195" s="14" t="str">
        <f>Bovespa!BK199</f>
        <v>CEAB3</v>
      </c>
      <c r="B195" s="14">
        <v>17.829999999999998</v>
      </c>
      <c r="C195" s="14">
        <v>17.100000000000001</v>
      </c>
      <c r="D195" s="14">
        <v>16.649999999999999</v>
      </c>
      <c r="E195" s="14">
        <v>16.89</v>
      </c>
      <c r="F195" s="14">
        <v>19.940000000000001</v>
      </c>
    </row>
    <row r="196" spans="1:6" x14ac:dyDescent="0.25">
      <c r="A196" s="14" t="str">
        <f>Bovespa!BK200</f>
        <v>AMBP3</v>
      </c>
      <c r="B196" s="14">
        <v>192</v>
      </c>
      <c r="C196" s="14">
        <v>178.01</v>
      </c>
      <c r="D196" s="14">
        <v>169.82</v>
      </c>
      <c r="E196" s="14">
        <v>172.18</v>
      </c>
      <c r="F196" s="14">
        <v>159.75</v>
      </c>
    </row>
    <row r="197" spans="1:6" x14ac:dyDescent="0.25">
      <c r="A197" s="14" t="str">
        <f>Bovespa!BK201</f>
        <v>NGRD3</v>
      </c>
      <c r="B197" s="14">
        <v>26</v>
      </c>
      <c r="C197" s="14">
        <v>26.41</v>
      </c>
      <c r="D197" s="14">
        <v>26.56</v>
      </c>
      <c r="E197" s="14">
        <v>26.5</v>
      </c>
      <c r="F197" s="14">
        <v>26</v>
      </c>
    </row>
    <row r="198" spans="1:6" x14ac:dyDescent="0.25">
      <c r="A198" s="14" t="str">
        <f>Bovespa!BK202</f>
        <v>CAML3</v>
      </c>
      <c r="B198" s="14">
        <v>4.75</v>
      </c>
      <c r="C198" s="14">
        <v>4.76</v>
      </c>
      <c r="D198" s="14">
        <v>5.0599999999999996</v>
      </c>
      <c r="E198" s="14">
        <v>5.0599999999999996</v>
      </c>
      <c r="F198" s="14">
        <v>5.04</v>
      </c>
    </row>
    <row r="199" spans="1:6" x14ac:dyDescent="0.25">
      <c r="A199" s="14" t="str">
        <f>Bovespa!BK203</f>
        <v>TASA3</v>
      </c>
      <c r="B199" s="14">
        <v>7.95</v>
      </c>
      <c r="C199" s="14">
        <v>7.66</v>
      </c>
      <c r="D199" s="14">
        <v>7.75</v>
      </c>
      <c r="E199" s="14">
        <v>7.63</v>
      </c>
      <c r="F199" s="14">
        <v>7.15</v>
      </c>
    </row>
    <row r="200" spans="1:6" x14ac:dyDescent="0.25">
      <c r="A200" s="14" t="str">
        <f>Bovespa!BK204</f>
        <v>SBFG3</v>
      </c>
      <c r="B200" s="14">
        <v>12.29</v>
      </c>
      <c r="C200" s="14">
        <v>11.47</v>
      </c>
      <c r="D200" s="14">
        <v>11.8</v>
      </c>
      <c r="E200" s="14">
        <v>11.6</v>
      </c>
      <c r="F200" s="14">
        <v>11.79</v>
      </c>
    </row>
    <row r="201" spans="1:6" x14ac:dyDescent="0.25">
      <c r="A201" s="14" t="str">
        <f>Bovespa!BK205</f>
        <v>TECN3</v>
      </c>
      <c r="B201" s="14">
        <v>6.39</v>
      </c>
      <c r="C201" s="14">
        <v>6.55</v>
      </c>
      <c r="D201" s="14">
        <v>6.87</v>
      </c>
      <c r="E201" s="14">
        <v>6.8</v>
      </c>
      <c r="F201" s="14">
        <v>7.13</v>
      </c>
    </row>
    <row r="202" spans="1:6" x14ac:dyDescent="0.25">
      <c r="A202" s="14" t="str">
        <f>Bovespa!BK206</f>
        <v>SMTO3</v>
      </c>
      <c r="B202" s="14">
        <v>21.16</v>
      </c>
      <c r="C202" s="14">
        <v>19.95</v>
      </c>
      <c r="D202" s="14">
        <v>20.18</v>
      </c>
      <c r="E202" s="14">
        <v>19.5</v>
      </c>
      <c r="F202" s="14">
        <v>17.670000000000002</v>
      </c>
    </row>
    <row r="203" spans="1:6" x14ac:dyDescent="0.25">
      <c r="A203" s="14" t="str">
        <f>Bovespa!BK207</f>
        <v>RANI3</v>
      </c>
      <c r="B203" s="14">
        <v>7.47</v>
      </c>
      <c r="C203" s="14">
        <v>7.64</v>
      </c>
      <c r="D203" s="14">
        <v>7.56</v>
      </c>
      <c r="E203" s="14">
        <v>7.44</v>
      </c>
      <c r="F203" s="14">
        <v>7.33</v>
      </c>
    </row>
    <row r="204" spans="1:6" x14ac:dyDescent="0.25">
      <c r="A204" s="14" t="str">
        <f>Bovespa!BK208</f>
        <v>PETZ3</v>
      </c>
      <c r="B204" s="14">
        <v>4.32</v>
      </c>
      <c r="C204" s="14">
        <v>4.2</v>
      </c>
      <c r="D204" s="14">
        <v>4.16</v>
      </c>
      <c r="E204" s="14">
        <v>4.0199999999999996</v>
      </c>
      <c r="F204" s="14">
        <v>3.97</v>
      </c>
    </row>
    <row r="205" spans="1:6" x14ac:dyDescent="0.25">
      <c r="A205" s="14" t="str">
        <f>Bovespa!BK209</f>
        <v>TOTS3</v>
      </c>
      <c r="B205" s="14">
        <v>42.21</v>
      </c>
      <c r="C205" s="14">
        <v>40.98</v>
      </c>
      <c r="D205" s="14">
        <v>41.04</v>
      </c>
      <c r="E205" s="14">
        <v>40.89</v>
      </c>
      <c r="F205" s="14">
        <v>41.52</v>
      </c>
    </row>
    <row r="206" spans="1:6" x14ac:dyDescent="0.25">
      <c r="A206" s="14" t="str">
        <f>Bovespa!BK210</f>
        <v>YDUQ3</v>
      </c>
      <c r="B206" s="14">
        <v>15.85</v>
      </c>
      <c r="C206" s="14">
        <v>17.07</v>
      </c>
      <c r="D206" s="14">
        <v>16.53</v>
      </c>
      <c r="E206" s="14">
        <v>16.54</v>
      </c>
      <c r="F206" s="14">
        <v>16.18</v>
      </c>
    </row>
    <row r="207" spans="1:6" x14ac:dyDescent="0.25">
      <c r="A207" s="14" t="str">
        <f>Bovespa!BK211</f>
        <v>JSLG3</v>
      </c>
      <c r="B207" s="14">
        <v>6.22</v>
      </c>
      <c r="C207" s="14">
        <v>5.83</v>
      </c>
      <c r="D207" s="14">
        <v>6.02</v>
      </c>
      <c r="E207" s="14">
        <v>6.2</v>
      </c>
      <c r="F207" s="14">
        <v>5.85</v>
      </c>
    </row>
    <row r="208" spans="1:6" x14ac:dyDescent="0.25">
      <c r="A208" s="14" t="str">
        <f>Bovespa!BK212</f>
        <v>ONCO3</v>
      </c>
      <c r="B208" s="14">
        <v>5.04</v>
      </c>
      <c r="C208" s="14">
        <v>4.62</v>
      </c>
      <c r="D208" s="14">
        <v>4.5999999999999996</v>
      </c>
      <c r="E208" s="14">
        <v>4.5</v>
      </c>
      <c r="F208" s="14">
        <v>5.08</v>
      </c>
    </row>
    <row r="209" spans="1:6" x14ac:dyDescent="0.25">
      <c r="A209" s="14" t="str">
        <f>Bovespa!BK213</f>
        <v>AALR3</v>
      </c>
      <c r="B209" s="14">
        <v>6.09</v>
      </c>
      <c r="C209" s="14">
        <v>5.41</v>
      </c>
      <c r="D209" s="14">
        <v>4.9800000000000004</v>
      </c>
      <c r="E209" s="14">
        <v>5</v>
      </c>
      <c r="F209" s="14">
        <v>4.92</v>
      </c>
    </row>
    <row r="210" spans="1:6" x14ac:dyDescent="0.25">
      <c r="A210" s="14" t="str">
        <f>Bovespa!BK214</f>
        <v>HBOR3</v>
      </c>
      <c r="B210" s="14">
        <v>2.5499999999999998</v>
      </c>
      <c r="C210" s="14">
        <v>2.78</v>
      </c>
      <c r="D210" s="14">
        <v>2.79</v>
      </c>
      <c r="E210" s="14">
        <v>2.76</v>
      </c>
      <c r="F210" s="14">
        <v>2.4900000000000002</v>
      </c>
    </row>
    <row r="211" spans="1:6" x14ac:dyDescent="0.25">
      <c r="A211" s="14" t="str">
        <f>Bovespa!BK215</f>
        <v>CRPG5</v>
      </c>
      <c r="B211" s="14">
        <v>21.99</v>
      </c>
      <c r="C211" s="14">
        <v>20.59</v>
      </c>
      <c r="D211" s="14">
        <v>19.14</v>
      </c>
      <c r="E211" s="14">
        <v>18.98</v>
      </c>
      <c r="F211" s="14">
        <v>17.510000000000002</v>
      </c>
    </row>
    <row r="212" spans="1:6" x14ac:dyDescent="0.25">
      <c r="A212" s="14" t="str">
        <f>Bovespa!BK216</f>
        <v>LOGN3</v>
      </c>
      <c r="B212" s="14">
        <v>25.55</v>
      </c>
      <c r="C212" s="14">
        <v>25.45</v>
      </c>
      <c r="D212" s="14">
        <v>25.51</v>
      </c>
      <c r="E212" s="14">
        <v>25.5</v>
      </c>
      <c r="F212" s="14">
        <v>25.4</v>
      </c>
    </row>
    <row r="213" spans="1:6" x14ac:dyDescent="0.25">
      <c r="A213" s="14" t="str">
        <f>Bovespa!BK217</f>
        <v>VAMO3</v>
      </c>
      <c r="B213" s="14">
        <v>4.97</v>
      </c>
      <c r="C213" s="14">
        <v>4.53</v>
      </c>
      <c r="D213" s="14">
        <v>4.6399999999999997</v>
      </c>
      <c r="E213" s="14">
        <v>4.4800000000000004</v>
      </c>
      <c r="F213" s="14">
        <v>4.13</v>
      </c>
    </row>
    <row r="214" spans="1:6" x14ac:dyDescent="0.25">
      <c r="A214" s="14" t="str">
        <f>Bovespa!BK218</f>
        <v>JHSF3</v>
      </c>
      <c r="B214" s="14">
        <v>5.35</v>
      </c>
      <c r="C214" s="14">
        <v>5.24</v>
      </c>
      <c r="D214" s="14">
        <v>5.23</v>
      </c>
      <c r="E214" s="14">
        <v>5.26</v>
      </c>
      <c r="F214" s="14">
        <v>5.25</v>
      </c>
    </row>
    <row r="215" spans="1:6" x14ac:dyDescent="0.25">
      <c r="A215" s="14" t="str">
        <f>Bovespa!BK219</f>
        <v>SIMH3</v>
      </c>
      <c r="B215" s="14">
        <v>5.33</v>
      </c>
      <c r="C215" s="14">
        <v>5.09</v>
      </c>
      <c r="D215" s="14">
        <v>5.52</v>
      </c>
      <c r="E215" s="14">
        <v>5.49</v>
      </c>
      <c r="F215" s="14">
        <v>5.03</v>
      </c>
    </row>
    <row r="216" spans="1:6" x14ac:dyDescent="0.25">
      <c r="A216" s="14" t="str">
        <f>Bovespa!BK220</f>
        <v>GUAR3</v>
      </c>
      <c r="B216" s="14">
        <v>8.5399999999999991</v>
      </c>
      <c r="C216" s="14">
        <v>8.1</v>
      </c>
      <c r="D216" s="14">
        <v>8.01</v>
      </c>
      <c r="E216" s="14">
        <v>8.02</v>
      </c>
      <c r="F216" s="14">
        <v>8.48</v>
      </c>
    </row>
    <row r="217" spans="1:6" x14ac:dyDescent="0.25">
      <c r="A217" s="14" t="str">
        <f>Bovespa!BK221</f>
        <v>SGPS3</v>
      </c>
      <c r="B217" s="14">
        <v>1.64</v>
      </c>
      <c r="C217" s="14">
        <v>1.64</v>
      </c>
      <c r="D217" s="14">
        <v>1.64</v>
      </c>
      <c r="E217" s="14">
        <v>1.64</v>
      </c>
      <c r="F217" s="14">
        <v>1.64</v>
      </c>
    </row>
    <row r="218" spans="1:6" x14ac:dyDescent="0.25">
      <c r="A218" s="14" t="str">
        <f>Bovespa!BK222</f>
        <v>COGN3</v>
      </c>
      <c r="B218" s="14">
        <v>2.97</v>
      </c>
      <c r="C218" s="14">
        <v>2.91</v>
      </c>
      <c r="D218" s="14">
        <v>2.79</v>
      </c>
      <c r="E218" s="14">
        <v>2.82</v>
      </c>
      <c r="F218" s="14">
        <v>2.79</v>
      </c>
    </row>
    <row r="219" spans="1:6" x14ac:dyDescent="0.25">
      <c r="A219" s="14" t="str">
        <f>Bovespa!BK223</f>
        <v>OIBR4</v>
      </c>
      <c r="B219" s="14">
        <v>8.3699999999999992</v>
      </c>
      <c r="C219" s="14">
        <v>8.86</v>
      </c>
      <c r="D219" s="14">
        <v>8.9</v>
      </c>
      <c r="E219" s="14">
        <v>8.99</v>
      </c>
      <c r="F219" s="14">
        <v>9.2200000000000006</v>
      </c>
    </row>
    <row r="220" spans="1:6" x14ac:dyDescent="0.25">
      <c r="A220" s="14" t="str">
        <f>Bovespa!BK224</f>
        <v>VITT3</v>
      </c>
      <c r="B220" s="14">
        <v>4.62</v>
      </c>
      <c r="C220" s="14">
        <v>4.5599999999999996</v>
      </c>
      <c r="D220" s="14">
        <v>4.49</v>
      </c>
      <c r="E220" s="14">
        <v>4.3499999999999996</v>
      </c>
      <c r="F220" s="14">
        <v>4.8099999999999996</v>
      </c>
    </row>
    <row r="221" spans="1:6" x14ac:dyDescent="0.25">
      <c r="A221" s="14" t="str">
        <f>Bovespa!BK225</f>
        <v>PTBL3</v>
      </c>
      <c r="B221" s="14">
        <v>5.15</v>
      </c>
      <c r="C221" s="14">
        <v>4.7699999999999996</v>
      </c>
      <c r="D221" s="14">
        <v>5.26</v>
      </c>
      <c r="E221" s="14">
        <v>4.79</v>
      </c>
      <c r="F221" s="14">
        <v>4.6500000000000004</v>
      </c>
    </row>
    <row r="222" spans="1:6" x14ac:dyDescent="0.25">
      <c r="A222" s="14" t="str">
        <f>Bovespa!BK226</f>
        <v>VVEO3</v>
      </c>
      <c r="B222" s="14">
        <v>1.37</v>
      </c>
      <c r="C222" s="14">
        <v>1.19</v>
      </c>
      <c r="D222" s="14">
        <v>1.2</v>
      </c>
      <c r="E222" s="14">
        <v>1.17</v>
      </c>
      <c r="F222" s="14">
        <v>1.25</v>
      </c>
    </row>
    <row r="223" spans="1:6" x14ac:dyDescent="0.25">
      <c r="A223" s="14" t="str">
        <f>Bovespa!BK227</f>
        <v>HBRE3</v>
      </c>
      <c r="B223" s="14">
        <v>3.49</v>
      </c>
      <c r="C223" s="14">
        <v>3.52</v>
      </c>
      <c r="D223" s="14">
        <v>3.53</v>
      </c>
      <c r="E223" s="14">
        <v>3.42</v>
      </c>
      <c r="F223" s="14">
        <v>3.41</v>
      </c>
    </row>
    <row r="224" spans="1:6" x14ac:dyDescent="0.25">
      <c r="A224" s="14" t="str">
        <f>Bovespa!BK228</f>
        <v>RDNI3</v>
      </c>
      <c r="B224" s="14">
        <v>2.69</v>
      </c>
      <c r="C224" s="14">
        <v>2.71</v>
      </c>
      <c r="D224" s="14">
        <v>2.52</v>
      </c>
      <c r="E224" s="14">
        <v>2.48</v>
      </c>
      <c r="F224" s="14">
        <v>2.4700000000000002</v>
      </c>
    </row>
    <row r="225" spans="1:6" x14ac:dyDescent="0.25">
      <c r="A225" s="14" t="str">
        <f>Bovespa!BK229</f>
        <v>PCAR3</v>
      </c>
      <c r="B225" s="14">
        <v>3.01</v>
      </c>
      <c r="C225" s="14">
        <v>3.06</v>
      </c>
      <c r="D225" s="14">
        <v>3.05</v>
      </c>
      <c r="E225" s="14">
        <v>3.05</v>
      </c>
      <c r="F225" s="14">
        <v>3.05</v>
      </c>
    </row>
    <row r="226" spans="1:6" x14ac:dyDescent="0.25">
      <c r="A226" s="14" t="str">
        <f>Bovespa!BK230</f>
        <v>CASH3</v>
      </c>
      <c r="B226" s="14">
        <v>8.02</v>
      </c>
      <c r="C226" s="14">
        <v>7.44</v>
      </c>
      <c r="D226" s="14">
        <v>7.06</v>
      </c>
      <c r="E226" s="14">
        <v>6.99</v>
      </c>
      <c r="F226" s="14">
        <v>7.06</v>
      </c>
    </row>
    <row r="227" spans="1:6" x14ac:dyDescent="0.25">
      <c r="A227" s="14" t="str">
        <f>Bovespa!BK231</f>
        <v>FHER3</v>
      </c>
      <c r="B227" s="14">
        <v>5.18</v>
      </c>
      <c r="C227" s="14">
        <v>4.54</v>
      </c>
      <c r="D227" s="14">
        <v>3.93</v>
      </c>
      <c r="E227" s="14">
        <v>4.1100000000000003</v>
      </c>
      <c r="F227" s="14">
        <v>3.83</v>
      </c>
    </row>
    <row r="228" spans="1:6" x14ac:dyDescent="0.25">
      <c r="A228" s="14" t="str">
        <f>Bovespa!BK232</f>
        <v>GFSA3</v>
      </c>
      <c r="B228" s="14">
        <v>1.22</v>
      </c>
      <c r="C228" s="14">
        <v>1.23</v>
      </c>
      <c r="D228" s="14">
        <v>1.24</v>
      </c>
      <c r="E228" s="14">
        <v>23.79</v>
      </c>
      <c r="F228" s="14">
        <v>20.46</v>
      </c>
    </row>
    <row r="229" spans="1:6" x14ac:dyDescent="0.25">
      <c r="A229" s="14" t="str">
        <f>Bovespa!BK233</f>
        <v>HYPE3</v>
      </c>
      <c r="B229" s="14">
        <v>25.4</v>
      </c>
      <c r="C229" s="14">
        <v>25.99</v>
      </c>
      <c r="D229" s="14">
        <v>27.8</v>
      </c>
      <c r="E229" s="14">
        <v>27.47</v>
      </c>
      <c r="F229" s="14">
        <v>26.85</v>
      </c>
    </row>
    <row r="230" spans="1:6" x14ac:dyDescent="0.25">
      <c r="A230" s="14" t="str">
        <f>Bovespa!BK234</f>
        <v>ENJU3</v>
      </c>
      <c r="B230" s="14">
        <v>1.19</v>
      </c>
      <c r="C230" s="14">
        <v>1.25</v>
      </c>
      <c r="D230" s="14">
        <v>1.2</v>
      </c>
      <c r="E230" s="14">
        <v>1.1499999999999999</v>
      </c>
      <c r="F230" s="14">
        <v>1.17</v>
      </c>
    </row>
    <row r="231" spans="1:6" x14ac:dyDescent="0.25">
      <c r="A231" s="14" t="str">
        <f>Bovespa!BK235</f>
        <v>RAIZ4</v>
      </c>
      <c r="B231" s="14">
        <v>1.94</v>
      </c>
      <c r="C231" s="14">
        <v>1.98</v>
      </c>
      <c r="D231" s="14">
        <v>1.83</v>
      </c>
      <c r="E231" s="14">
        <v>1.72</v>
      </c>
      <c r="F231" s="14">
        <v>1.63</v>
      </c>
    </row>
    <row r="232" spans="1:6" x14ac:dyDescent="0.25">
      <c r="A232" s="14" t="str">
        <f>Bovespa!BK236</f>
        <v>BBAS3</v>
      </c>
      <c r="B232" s="14">
        <v>23.42</v>
      </c>
      <c r="C232" s="14">
        <v>21.71</v>
      </c>
      <c r="D232" s="14">
        <v>21.59</v>
      </c>
      <c r="E232" s="14">
        <v>21.35</v>
      </c>
      <c r="F232" s="14">
        <v>21.73</v>
      </c>
    </row>
    <row r="233" spans="1:6" x14ac:dyDescent="0.25">
      <c r="A233" s="14" t="str">
        <f>Bovespa!BK237</f>
        <v>EPAR3</v>
      </c>
      <c r="B233" s="14">
        <v>4.75</v>
      </c>
      <c r="C233" s="14">
        <v>4.7699999999999996</v>
      </c>
      <c r="D233" s="14">
        <v>4.91</v>
      </c>
      <c r="E233" s="14">
        <v>5.05</v>
      </c>
      <c r="F233" s="14">
        <v>4.9000000000000004</v>
      </c>
    </row>
    <row r="234" spans="1:6" x14ac:dyDescent="0.25">
      <c r="A234" s="14" t="str">
        <f>Bovespa!BK238</f>
        <v>SYNE3</v>
      </c>
      <c r="B234" s="14">
        <v>6.06</v>
      </c>
      <c r="C234" s="14">
        <v>5.42</v>
      </c>
      <c r="D234" s="14">
        <v>5.67</v>
      </c>
      <c r="E234" s="14">
        <v>6.07</v>
      </c>
      <c r="F234" s="14">
        <v>6.4</v>
      </c>
    </row>
    <row r="235" spans="1:6" x14ac:dyDescent="0.25">
      <c r="A235" s="14" t="str">
        <f>Bovespa!BK239</f>
        <v>MRVE3</v>
      </c>
      <c r="B235" s="14">
        <v>5.29</v>
      </c>
      <c r="C235" s="14">
        <v>5.92</v>
      </c>
      <c r="D235" s="14">
        <v>5.76</v>
      </c>
      <c r="E235" s="14">
        <v>5.86</v>
      </c>
      <c r="F235" s="14">
        <v>5.92</v>
      </c>
    </row>
    <row r="236" spans="1:6" x14ac:dyDescent="0.25">
      <c r="A236" s="14" t="str">
        <f>Bovespa!BK240</f>
        <v>MOVI3</v>
      </c>
      <c r="B236" s="14">
        <v>6.95</v>
      </c>
      <c r="C236" s="14">
        <v>6.59</v>
      </c>
      <c r="D236" s="14">
        <v>7.72</v>
      </c>
      <c r="E236" s="14">
        <v>8.27</v>
      </c>
      <c r="F236" s="14">
        <v>7.11</v>
      </c>
    </row>
    <row r="237" spans="1:6" x14ac:dyDescent="0.25">
      <c r="A237" s="14" t="str">
        <f>Bovespa!BK241</f>
        <v>AZEV4</v>
      </c>
      <c r="B237" s="14">
        <v>0.71</v>
      </c>
      <c r="C237" s="14">
        <v>0.73</v>
      </c>
      <c r="D237" s="14">
        <v>0.69</v>
      </c>
      <c r="E237" s="14">
        <v>0.63</v>
      </c>
      <c r="F237" s="14">
        <v>0.59</v>
      </c>
    </row>
    <row r="238" spans="1:6" x14ac:dyDescent="0.25">
      <c r="A238" s="14" t="str">
        <f>Bovespa!BK242</f>
        <v>CSNA3</v>
      </c>
      <c r="B238" s="14">
        <v>8.25</v>
      </c>
      <c r="C238" s="14">
        <v>8.23</v>
      </c>
      <c r="D238" s="14">
        <v>7.94</v>
      </c>
      <c r="E238" s="14">
        <v>7.87</v>
      </c>
      <c r="F238" s="14">
        <v>7.5</v>
      </c>
    </row>
    <row r="239" spans="1:6" x14ac:dyDescent="0.25">
      <c r="A239" s="14" t="str">
        <f>Bovespa!BK243</f>
        <v>CTNM4</v>
      </c>
      <c r="B239" s="14">
        <v>0.86</v>
      </c>
      <c r="C239" s="14">
        <v>0.86</v>
      </c>
      <c r="D239" s="14">
        <v>0.86</v>
      </c>
      <c r="E239" s="14">
        <v>0.86</v>
      </c>
      <c r="F239" s="14">
        <v>0.86</v>
      </c>
    </row>
    <row r="240" spans="1:6" x14ac:dyDescent="0.25">
      <c r="A240" s="14" t="str">
        <f>Bovespa!BK244</f>
        <v>IFCM3</v>
      </c>
      <c r="B240" s="14">
        <v>7.0000000000000007E-2</v>
      </c>
      <c r="C240" s="14">
        <v>7.0000000000000007E-2</v>
      </c>
      <c r="D240" s="14">
        <v>7.0000000000000007E-2</v>
      </c>
      <c r="E240" s="14">
        <v>0.05</v>
      </c>
      <c r="F240" s="14">
        <v>0.05</v>
      </c>
    </row>
    <row r="241" spans="1:6" x14ac:dyDescent="0.25">
      <c r="A241" s="14" t="str">
        <f>Bovespa!BK245</f>
        <v>HAPV3</v>
      </c>
      <c r="B241" s="14">
        <v>42.9</v>
      </c>
      <c r="C241" s="14">
        <v>39.909999999999997</v>
      </c>
      <c r="D241" s="14">
        <v>38.49</v>
      </c>
      <c r="E241" s="14">
        <v>37.42</v>
      </c>
      <c r="F241" s="14">
        <v>36.270000000000003</v>
      </c>
    </row>
    <row r="242" spans="1:6" x14ac:dyDescent="0.25">
      <c r="A242" s="14" t="str">
        <f>Bovespa!BK246</f>
        <v>SEQL3</v>
      </c>
      <c r="B242" s="14">
        <v>1.77</v>
      </c>
      <c r="C242" s="14">
        <v>1.72</v>
      </c>
      <c r="D242" s="14">
        <v>1.57</v>
      </c>
      <c r="E242" s="14">
        <v>1.2</v>
      </c>
      <c r="F242" s="14">
        <v>0.95</v>
      </c>
    </row>
    <row r="243" spans="1:6" x14ac:dyDescent="0.25">
      <c r="A243" s="14" t="str">
        <f>Bovespa!BK247</f>
        <v>ZAMP3</v>
      </c>
      <c r="B243" s="14">
        <v>3.43</v>
      </c>
      <c r="C243" s="14">
        <v>3.32</v>
      </c>
      <c r="D243" s="14">
        <v>3.47</v>
      </c>
      <c r="E243" s="14">
        <v>3.41</v>
      </c>
      <c r="F243" s="14">
        <v>3.43</v>
      </c>
    </row>
    <row r="244" spans="1:6" x14ac:dyDescent="0.25">
      <c r="A244" s="14" t="str">
        <f>Bovespa!BK248</f>
        <v>INEP4</v>
      </c>
      <c r="B244" s="14">
        <v>1.62</v>
      </c>
      <c r="C244" s="14">
        <v>1.66</v>
      </c>
      <c r="D244" s="14">
        <v>1.75</v>
      </c>
      <c r="E244" s="14">
        <v>1.68</v>
      </c>
      <c r="F244" s="14">
        <v>1.64</v>
      </c>
    </row>
    <row r="245" spans="1:6" x14ac:dyDescent="0.25">
      <c r="A245" s="14" t="str">
        <f>Bovespa!BK249</f>
        <v>OIBR3</v>
      </c>
      <c r="B245" s="14">
        <v>0.63</v>
      </c>
      <c r="C245" s="14">
        <v>0.67</v>
      </c>
      <c r="D245" s="14">
        <v>0.71</v>
      </c>
      <c r="E245" s="14">
        <v>0.63</v>
      </c>
      <c r="F245" s="14">
        <v>0.64</v>
      </c>
    </row>
    <row r="246" spans="1:6" x14ac:dyDescent="0.25">
      <c r="A246" s="14" t="str">
        <f>Bovespa!BK250</f>
        <v>CSAN3</v>
      </c>
      <c r="B246" s="14">
        <v>8.23</v>
      </c>
      <c r="C246" s="14">
        <v>8.06</v>
      </c>
      <c r="D246" s="14">
        <v>8.1199999999999992</v>
      </c>
      <c r="E246" s="14">
        <v>7.28</v>
      </c>
      <c r="F246" s="14">
        <v>6.74</v>
      </c>
    </row>
    <row r="247" spans="1:6" x14ac:dyDescent="0.25">
      <c r="A247" s="14" t="str">
        <f>Bovespa!BK251</f>
        <v>BRKM3</v>
      </c>
      <c r="B247" s="14">
        <v>11.65</v>
      </c>
      <c r="C247" s="14">
        <v>10.97</v>
      </c>
      <c r="D247" s="14">
        <v>11.01</v>
      </c>
      <c r="E247" s="14">
        <v>10.4</v>
      </c>
      <c r="F247" s="14">
        <v>9.5</v>
      </c>
    </row>
    <row r="248" spans="1:6" x14ac:dyDescent="0.25">
      <c r="A248" s="14" t="str">
        <f>Bovespa!BK252</f>
        <v>SHOW3</v>
      </c>
      <c r="B248" s="14">
        <v>7</v>
      </c>
      <c r="C248" s="14">
        <v>6.41</v>
      </c>
      <c r="D248" s="14">
        <v>6.5</v>
      </c>
      <c r="E248" s="14">
        <v>6.7</v>
      </c>
      <c r="F248" s="14">
        <v>6.44</v>
      </c>
    </row>
    <row r="249" spans="1:6" x14ac:dyDescent="0.25">
      <c r="A249" s="14" t="str">
        <f>Bovespa!BK253</f>
        <v>AZEV3</v>
      </c>
      <c r="B249" s="14">
        <v>0.56000000000000005</v>
      </c>
      <c r="C249" s="14">
        <v>0.56999999999999995</v>
      </c>
      <c r="D249" s="14">
        <v>0.5</v>
      </c>
      <c r="E249" s="14">
        <v>0.46</v>
      </c>
      <c r="F249" s="14">
        <v>0.46</v>
      </c>
    </row>
    <row r="250" spans="1:6" x14ac:dyDescent="0.25">
      <c r="A250" s="14" t="str">
        <f>Bovespa!BK254</f>
        <v>GOLL4</v>
      </c>
      <c r="B250" s="14">
        <v>1.47</v>
      </c>
      <c r="C250" s="14">
        <v>1.1000000000000001</v>
      </c>
      <c r="D250" s="14">
        <v>701</v>
      </c>
      <c r="E250" s="14">
        <v>162.16</v>
      </c>
      <c r="F250" s="14">
        <v>118</v>
      </c>
    </row>
    <row r="251" spans="1:6" x14ac:dyDescent="0.25">
      <c r="A251" s="14" t="str">
        <f>Bovespa!BK255</f>
        <v>SEER3</v>
      </c>
      <c r="B251" s="14">
        <v>10.119999999999999</v>
      </c>
      <c r="C251" s="14">
        <v>9.58</v>
      </c>
      <c r="D251" s="14">
        <v>10.38</v>
      </c>
      <c r="E251" s="14">
        <v>10.119999999999999</v>
      </c>
      <c r="F251" s="14">
        <v>9.01</v>
      </c>
    </row>
    <row r="252" spans="1:6" x14ac:dyDescent="0.25">
      <c r="A252" s="14" t="str">
        <f>Bovespa!BK256</f>
        <v>FESA4</v>
      </c>
      <c r="B252" s="14">
        <v>7.02</v>
      </c>
      <c r="C252" s="14">
        <v>7.06</v>
      </c>
      <c r="D252" s="14">
        <v>7.02</v>
      </c>
      <c r="E252" s="14">
        <v>6.79</v>
      </c>
      <c r="F252" s="14">
        <v>6.8</v>
      </c>
    </row>
    <row r="253" spans="1:6" x14ac:dyDescent="0.25">
      <c r="A253" s="14" t="str">
        <f>Bovespa!BK257</f>
        <v>LJQQ3</v>
      </c>
      <c r="B253" s="14">
        <v>2.88</v>
      </c>
      <c r="C253" s="14">
        <v>2.71</v>
      </c>
      <c r="D253" s="14">
        <v>2.5099999999999998</v>
      </c>
      <c r="E253" s="14">
        <v>2.5299999999999998</v>
      </c>
      <c r="F253" s="14">
        <v>2.54</v>
      </c>
    </row>
    <row r="254" spans="1:6" x14ac:dyDescent="0.25">
      <c r="A254" s="14" t="str">
        <f>Bovespa!BK258</f>
        <v>VIVR3</v>
      </c>
      <c r="B254" s="14">
        <v>0.91</v>
      </c>
      <c r="C254" s="14">
        <v>0.89</v>
      </c>
      <c r="D254" s="14">
        <v>0.88</v>
      </c>
      <c r="E254" s="14">
        <v>0.88</v>
      </c>
      <c r="F254" s="14">
        <v>0.87</v>
      </c>
    </row>
    <row r="255" spans="1:6" x14ac:dyDescent="0.25">
      <c r="A255" s="14" t="str">
        <f>Bovespa!BK259</f>
        <v>DASA3</v>
      </c>
      <c r="B255" s="14">
        <v>1.59</v>
      </c>
      <c r="C255" s="14">
        <v>1.53</v>
      </c>
      <c r="D255" s="14">
        <v>1.5</v>
      </c>
      <c r="E255" s="14">
        <v>1.33</v>
      </c>
      <c r="F255" s="14">
        <v>1.29</v>
      </c>
    </row>
    <row r="256" spans="1:6" x14ac:dyDescent="0.25">
      <c r="A256" s="14" t="str">
        <f>Bovespa!BK260</f>
        <v>RSID3</v>
      </c>
      <c r="B256" s="14">
        <v>1.86</v>
      </c>
      <c r="C256" s="14">
        <v>1.97</v>
      </c>
      <c r="D256" s="14">
        <v>2.14</v>
      </c>
      <c r="E256" s="14">
        <v>2.09</v>
      </c>
      <c r="F256" s="14">
        <v>2.04</v>
      </c>
    </row>
    <row r="257" spans="1:6" x14ac:dyDescent="0.25">
      <c r="A257" s="14" t="str">
        <f>Bovespa!BK261</f>
        <v>TCSA3</v>
      </c>
      <c r="B257" s="14">
        <v>1.2</v>
      </c>
      <c r="C257" s="14">
        <v>1.19</v>
      </c>
      <c r="D257" s="14">
        <v>1.18</v>
      </c>
      <c r="E257" s="14">
        <v>1.17</v>
      </c>
      <c r="F257" s="14">
        <v>1.22</v>
      </c>
    </row>
    <row r="258" spans="1:6" x14ac:dyDescent="0.25">
      <c r="A258" s="14" t="str">
        <f>Bovespa!BK262</f>
        <v>AZUL4</v>
      </c>
      <c r="B258" s="14">
        <v>0.9</v>
      </c>
      <c r="C258" s="14">
        <v>0.96</v>
      </c>
      <c r="D258" s="14">
        <v>0.99</v>
      </c>
      <c r="E258" s="14">
        <v>0.98</v>
      </c>
      <c r="F258" s="14">
        <v>0.94</v>
      </c>
    </row>
    <row r="259" spans="1:6" x14ac:dyDescent="0.25">
      <c r="A259" s="14" t="str">
        <f>Bovespa!BK263</f>
        <v>DOTZ3</v>
      </c>
      <c r="B259" s="14">
        <v>7.97</v>
      </c>
      <c r="C259" s="14">
        <v>7.93</v>
      </c>
      <c r="D259" s="14">
        <v>7.76</v>
      </c>
      <c r="E259" s="14">
        <v>7.36</v>
      </c>
      <c r="F259" s="14">
        <v>7.01</v>
      </c>
    </row>
    <row r="260" spans="1:6" x14ac:dyDescent="0.25">
      <c r="A260" s="14" t="str">
        <f>Bovespa!BK264</f>
        <v>PMAM3</v>
      </c>
      <c r="B260" s="14">
        <v>2.2200000000000002</v>
      </c>
      <c r="C260" s="14">
        <v>2.15</v>
      </c>
      <c r="D260" s="14">
        <v>1.92</v>
      </c>
      <c r="E260" s="14">
        <v>1.88</v>
      </c>
      <c r="F260" s="14">
        <v>1.82</v>
      </c>
    </row>
    <row r="261" spans="1:6" x14ac:dyDescent="0.25">
      <c r="A261" s="14" t="str">
        <f>Bovespa!BK265</f>
        <v>VSTE3</v>
      </c>
      <c r="B261" s="14">
        <v>6.01</v>
      </c>
      <c r="C261" s="14">
        <v>5.99</v>
      </c>
      <c r="D261" s="14">
        <v>6.01</v>
      </c>
      <c r="E261" s="14">
        <v>5.91</v>
      </c>
      <c r="F261" s="14">
        <v>6.07</v>
      </c>
    </row>
    <row r="262" spans="1:6" x14ac:dyDescent="0.25">
      <c r="A262" s="14" t="str">
        <f>Bovespa!BK266</f>
        <v>MGEL4</v>
      </c>
      <c r="B262" s="14">
        <v>5.21</v>
      </c>
      <c r="C262" s="14">
        <v>5.0999999999999996</v>
      </c>
      <c r="D262" s="14">
        <v>5.08</v>
      </c>
      <c r="E262" s="14">
        <v>4.53</v>
      </c>
      <c r="F262" s="14">
        <v>4.03</v>
      </c>
    </row>
    <row r="263" spans="1:6" x14ac:dyDescent="0.25">
      <c r="A263" s="14" t="str">
        <f>Bovespa!BK267</f>
        <v>RCSL3</v>
      </c>
      <c r="B263" s="14">
        <v>2.72</v>
      </c>
      <c r="C263" s="14">
        <v>2.6</v>
      </c>
      <c r="D263" s="14">
        <v>2.5</v>
      </c>
      <c r="E263" s="14">
        <v>2.41</v>
      </c>
      <c r="F263" s="14">
        <v>2.33</v>
      </c>
    </row>
    <row r="264" spans="1:6" x14ac:dyDescent="0.25">
      <c r="A264" s="14" t="str">
        <f>Bovespa!BK268</f>
        <v>ARML3</v>
      </c>
      <c r="B264" s="14">
        <v>4.9000000000000004</v>
      </c>
      <c r="C264" s="14">
        <v>5.04</v>
      </c>
      <c r="D264" s="14">
        <v>5</v>
      </c>
      <c r="E264" s="14">
        <v>4</v>
      </c>
      <c r="F264" s="14">
        <v>3.64</v>
      </c>
    </row>
    <row r="265" spans="1:6" x14ac:dyDescent="0.25">
      <c r="A265" s="14" t="str">
        <f>Bovespa!BK269</f>
        <v>ATMP3</v>
      </c>
      <c r="B265" s="14">
        <v>1.26</v>
      </c>
      <c r="C265" s="14">
        <v>1.25</v>
      </c>
      <c r="D265" s="14">
        <v>1.19</v>
      </c>
      <c r="E265" s="14">
        <v>1.18</v>
      </c>
      <c r="F265" s="14">
        <v>1.17</v>
      </c>
    </row>
    <row r="266" spans="1:6" x14ac:dyDescent="0.25">
      <c r="A266" s="14" t="str">
        <f>Bovespa!BK270</f>
        <v>CIEL3</v>
      </c>
      <c r="B266" s="14" t="e" vm="138">
        <v>#VALUE!</v>
      </c>
      <c r="C266" s="14" t="e" vm="138">
        <v>#VALUE!</v>
      </c>
      <c r="D266" s="14" t="e" vm="138">
        <v>#VALUE!</v>
      </c>
      <c r="E266" s="14" t="e" vm="138">
        <v>#VALUE!</v>
      </c>
      <c r="F266" s="14" t="e" vm="138">
        <v>#VALUE!</v>
      </c>
    </row>
    <row r="267" spans="1:6" x14ac:dyDescent="0.25">
      <c r="A267" s="14" t="str">
        <f>Bovespa!BK271</f>
        <v>TAEE3</v>
      </c>
      <c r="B267" s="14">
        <v>11.74</v>
      </c>
      <c r="C267" s="14">
        <v>11.48</v>
      </c>
      <c r="D267" s="14">
        <v>11.34</v>
      </c>
      <c r="E267" s="14">
        <v>11.41</v>
      </c>
      <c r="F267" s="14">
        <v>11.44</v>
      </c>
    </row>
    <row r="268" spans="1:6" x14ac:dyDescent="0.25">
      <c r="A268" t="s">
        <v>515</v>
      </c>
      <c r="B268" s="14">
        <v>0</v>
      </c>
      <c r="C268" s="14">
        <v>0</v>
      </c>
      <c r="D268" s="14">
        <v>0</v>
      </c>
      <c r="E268" s="14">
        <v>0</v>
      </c>
      <c r="F268" s="14">
        <v>0</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
  <sheetViews>
    <sheetView workbookViewId="0">
      <selection activeCell="G11" sqref="G11"/>
    </sheetView>
  </sheetViews>
  <sheetFormatPr defaultRowHeight="15" x14ac:dyDescent="0.2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90" zoomScaleNormal="90" workbookViewId="0">
      <selection activeCell="H6" sqref="H6"/>
    </sheetView>
  </sheetViews>
  <sheetFormatPr defaultRowHeight="15" x14ac:dyDescent="0.25"/>
  <cols>
    <col min="8" max="8" width="15" customWidth="1"/>
    <col min="12" max="12" width="11.7109375" customWidth="1"/>
    <col min="13" max="14" width="10.85546875" bestFit="1" customWidth="1"/>
    <col min="18" max="18" width="15.42578125" bestFit="1" customWidth="1"/>
    <col min="19" max="19" width="17.5703125" bestFit="1" customWidth="1"/>
  </cols>
  <sheetData>
    <row r="1" spans="1:21" s="35" customFormat="1" x14ac:dyDescent="0.25">
      <c r="A1" s="35" t="s">
        <v>289</v>
      </c>
      <c r="B1" s="35" t="s">
        <v>272</v>
      </c>
      <c r="C1" s="35" t="s">
        <v>290</v>
      </c>
      <c r="D1" s="35" t="s">
        <v>291</v>
      </c>
      <c r="E1" s="35" t="s">
        <v>292</v>
      </c>
      <c r="F1" s="35" t="s">
        <v>293</v>
      </c>
      <c r="G1" s="35" t="s">
        <v>294</v>
      </c>
      <c r="H1" s="35" t="s">
        <v>295</v>
      </c>
      <c r="I1" s="35" t="s">
        <v>296</v>
      </c>
      <c r="J1" s="35" t="s">
        <v>297</v>
      </c>
      <c r="K1" s="35" t="s">
        <v>298</v>
      </c>
      <c r="L1" s="35" t="s">
        <v>299</v>
      </c>
      <c r="M1" s="35" t="s">
        <v>300</v>
      </c>
      <c r="N1" s="35" t="s">
        <v>301</v>
      </c>
      <c r="O1" s="35" t="s">
        <v>302</v>
      </c>
      <c r="P1" s="35" t="s">
        <v>303</v>
      </c>
      <c r="Q1" s="35" t="s">
        <v>304</v>
      </c>
      <c r="R1" s="35" t="s">
        <v>305</v>
      </c>
      <c r="S1" s="35" t="s">
        <v>306</v>
      </c>
      <c r="T1" s="35" t="s">
        <v>307</v>
      </c>
      <c r="U1" s="35" t="s">
        <v>308</v>
      </c>
    </row>
    <row r="2" spans="1:21" x14ac:dyDescent="0.25">
      <c r="A2" t="s">
        <v>209</v>
      </c>
      <c r="B2">
        <v>4.9800000000000004</v>
      </c>
      <c r="C2">
        <v>-10.81</v>
      </c>
      <c r="D2">
        <v>0.71</v>
      </c>
      <c r="E2">
        <v>0.61</v>
      </c>
      <c r="F2" s="33">
        <v>0</v>
      </c>
      <c r="G2">
        <v>0.26500000000000001</v>
      </c>
      <c r="H2">
        <v>-60.14</v>
      </c>
      <c r="I2">
        <v>6.14</v>
      </c>
      <c r="J2">
        <v>-0.75</v>
      </c>
      <c r="K2" s="34">
        <v>10.53</v>
      </c>
      <c r="L2">
        <v>5.63</v>
      </c>
      <c r="M2" s="33">
        <v>9.9400000000000002E-2</v>
      </c>
      <c r="N2" s="33">
        <v>-4.9500000000000002E-2</v>
      </c>
      <c r="O2">
        <v>0.98</v>
      </c>
      <c r="P2" s="33">
        <v>4.7399999999999998E-2</v>
      </c>
      <c r="Q2" s="33">
        <v>-6.5299999999999997E-2</v>
      </c>
      <c r="R2" s="34">
        <v>469754</v>
      </c>
      <c r="S2" s="34">
        <v>1074970000</v>
      </c>
      <c r="T2">
        <v>0.62</v>
      </c>
      <c r="U2" s="33">
        <v>5.3199999999999997E-2</v>
      </c>
    </row>
    <row r="3" spans="1:21" x14ac:dyDescent="0.25">
      <c r="A3" t="s">
        <v>36</v>
      </c>
      <c r="B3">
        <v>21.06</v>
      </c>
      <c r="C3">
        <v>5.29</v>
      </c>
      <c r="D3">
        <v>0.8</v>
      </c>
      <c r="E3">
        <v>0</v>
      </c>
      <c r="F3" s="33">
        <v>7.8100000000000003E-2</v>
      </c>
      <c r="G3">
        <v>0</v>
      </c>
      <c r="H3">
        <v>0</v>
      </c>
      <c r="I3">
        <v>0</v>
      </c>
      <c r="J3">
        <v>0</v>
      </c>
      <c r="K3">
        <v>0</v>
      </c>
      <c r="L3">
        <v>0</v>
      </c>
      <c r="M3" s="33">
        <v>0</v>
      </c>
      <c r="N3" s="33">
        <v>0</v>
      </c>
      <c r="O3">
        <v>0</v>
      </c>
      <c r="P3" s="33">
        <v>0</v>
      </c>
      <c r="Q3" s="33">
        <v>0.15049999999999999</v>
      </c>
      <c r="R3" s="34">
        <v>9861250</v>
      </c>
      <c r="S3" s="34">
        <v>6472310000</v>
      </c>
      <c r="T3">
        <v>0</v>
      </c>
      <c r="U3" s="33">
        <v>0.30580000000000002</v>
      </c>
    </row>
    <row r="4" spans="1:21" x14ac:dyDescent="0.25">
      <c r="A4" t="s">
        <v>7</v>
      </c>
      <c r="B4">
        <v>13.64</v>
      </c>
      <c r="C4">
        <v>14.9</v>
      </c>
      <c r="D4">
        <v>2.27</v>
      </c>
      <c r="E4">
        <v>2.3450000000000002</v>
      </c>
      <c r="F4" s="33">
        <v>6.7699999999999996E-2</v>
      </c>
      <c r="G4">
        <v>1.46</v>
      </c>
      <c r="H4">
        <v>51.1</v>
      </c>
      <c r="I4">
        <v>10.62</v>
      </c>
      <c r="J4">
        <v>-25.99</v>
      </c>
      <c r="K4">
        <v>9.77</v>
      </c>
      <c r="L4">
        <v>7.31</v>
      </c>
      <c r="M4" s="33">
        <v>0.22090000000000001</v>
      </c>
      <c r="N4" s="33">
        <v>0.16200000000000001</v>
      </c>
      <c r="O4">
        <v>1.1100000000000001</v>
      </c>
      <c r="P4" s="33">
        <v>0.19189999999999999</v>
      </c>
      <c r="Q4" s="33">
        <v>0.1527</v>
      </c>
      <c r="R4" s="34">
        <v>370197000</v>
      </c>
      <c r="S4" s="34">
        <v>94528300000</v>
      </c>
      <c r="T4">
        <v>0.03</v>
      </c>
      <c r="U4" s="33">
        <v>8.6699999999999999E-2</v>
      </c>
    </row>
    <row r="5" spans="1:21" x14ac:dyDescent="0.25">
      <c r="A5" t="s">
        <v>309</v>
      </c>
      <c r="B5">
        <v>1.56</v>
      </c>
      <c r="C5">
        <v>-4.09</v>
      </c>
      <c r="D5">
        <v>-1.29</v>
      </c>
      <c r="E5">
        <v>770.92399999999998</v>
      </c>
      <c r="F5" s="33">
        <v>0</v>
      </c>
      <c r="G5">
        <v>105.126</v>
      </c>
      <c r="H5">
        <v>-1.43</v>
      </c>
      <c r="I5" s="34">
        <v>-5.69</v>
      </c>
      <c r="J5">
        <v>-1.27</v>
      </c>
      <c r="K5" s="34">
        <v>-5.69</v>
      </c>
      <c r="L5">
        <v>-5.81</v>
      </c>
      <c r="M5" s="33">
        <v>-135.48500000000001</v>
      </c>
      <c r="N5" s="33">
        <v>-188.60599999999999</v>
      </c>
      <c r="O5">
        <v>0</v>
      </c>
      <c r="P5" s="33">
        <v>5.2169999999999996</v>
      </c>
      <c r="Q5" s="33">
        <v>0.31469999999999998</v>
      </c>
      <c r="R5" s="34">
        <v>2064</v>
      </c>
      <c r="S5" s="34">
        <v>-19776000</v>
      </c>
      <c r="T5">
        <v>0</v>
      </c>
      <c r="U5" s="33">
        <v>0.43480000000000002</v>
      </c>
    </row>
    <row r="6" spans="1:21" x14ac:dyDescent="0.25">
      <c r="A6" t="s">
        <v>310</v>
      </c>
      <c r="B6">
        <v>4.04</v>
      </c>
      <c r="C6">
        <v>-0.25</v>
      </c>
      <c r="D6">
        <v>2.2599999999999998</v>
      </c>
      <c r="E6">
        <v>0.20699999999999999</v>
      </c>
      <c r="F6" s="33">
        <v>0</v>
      </c>
      <c r="G6">
        <v>0.11899999999999999</v>
      </c>
      <c r="H6">
        <v>-28.5</v>
      </c>
      <c r="I6">
        <v>-0.35</v>
      </c>
      <c r="J6">
        <v>-0.21</v>
      </c>
      <c r="K6">
        <v>-2.4500000000000002</v>
      </c>
      <c r="L6">
        <v>-2.87</v>
      </c>
      <c r="M6" s="33">
        <v>-0.59119999999999995</v>
      </c>
      <c r="N6" s="33">
        <v>-0.81510000000000005</v>
      </c>
      <c r="O6">
        <v>0.99</v>
      </c>
      <c r="P6" s="33">
        <v>-0.37409999999999999</v>
      </c>
      <c r="Q6" s="33">
        <v>-8.8948</v>
      </c>
      <c r="R6" s="34">
        <v>1418880</v>
      </c>
      <c r="S6" s="34">
        <v>111006000</v>
      </c>
      <c r="T6">
        <v>14.59</v>
      </c>
      <c r="U6" s="33">
        <v>-0.18770000000000001</v>
      </c>
    </row>
    <row r="7" spans="1:21" x14ac:dyDescent="0.25">
      <c r="A7" t="s">
        <v>311</v>
      </c>
      <c r="B7">
        <v>7.24</v>
      </c>
      <c r="C7">
        <v>14.91</v>
      </c>
      <c r="D7">
        <v>1.78</v>
      </c>
      <c r="E7">
        <v>5.6070000000000002</v>
      </c>
      <c r="F7" s="33">
        <v>7.4499999999999997E-2</v>
      </c>
      <c r="G7">
        <v>1.321</v>
      </c>
      <c r="H7">
        <v>7.48</v>
      </c>
      <c r="I7">
        <v>11.68</v>
      </c>
      <c r="J7">
        <v>-40.799999999999997</v>
      </c>
      <c r="K7">
        <v>12.07</v>
      </c>
      <c r="L7">
        <v>12.02</v>
      </c>
      <c r="M7" s="33">
        <v>0.47989999999999999</v>
      </c>
      <c r="N7" s="33">
        <v>0.37609999999999999</v>
      </c>
      <c r="O7">
        <v>4.76</v>
      </c>
      <c r="P7" s="33">
        <v>0.1193</v>
      </c>
      <c r="Q7" s="33">
        <v>0.1191</v>
      </c>
      <c r="R7" s="34">
        <v>2298.9299999999998</v>
      </c>
      <c r="S7" s="34">
        <v>257167000</v>
      </c>
      <c r="T7">
        <v>0.11</v>
      </c>
      <c r="U7" s="33">
        <v>9.4200000000000006E-2</v>
      </c>
    </row>
    <row r="8" spans="1:21" x14ac:dyDescent="0.25">
      <c r="A8" t="s">
        <v>45</v>
      </c>
      <c r="B8">
        <v>20.82</v>
      </c>
      <c r="C8">
        <v>6.91</v>
      </c>
      <c r="D8">
        <v>0.99</v>
      </c>
      <c r="E8">
        <v>1.5780000000000001</v>
      </c>
      <c r="F8" s="33">
        <v>7.4700000000000003E-2</v>
      </c>
      <c r="G8">
        <v>0.53800000000000003</v>
      </c>
      <c r="H8">
        <v>4.62</v>
      </c>
      <c r="I8">
        <v>5.27</v>
      </c>
      <c r="J8">
        <v>-3.9</v>
      </c>
      <c r="K8">
        <v>8.36</v>
      </c>
      <c r="L8">
        <v>6.98</v>
      </c>
      <c r="M8" s="33">
        <v>0.29959999999999998</v>
      </c>
      <c r="N8" s="33">
        <v>0.22850000000000001</v>
      </c>
      <c r="O8">
        <v>1.58</v>
      </c>
      <c r="P8" s="33">
        <v>0.1113</v>
      </c>
      <c r="Q8" s="33">
        <v>0.14269999999999999</v>
      </c>
      <c r="R8" s="34">
        <v>3513040</v>
      </c>
      <c r="S8" s="34">
        <v>2169900000</v>
      </c>
      <c r="T8">
        <v>0.62</v>
      </c>
      <c r="U8" s="33">
        <v>-4.7000000000000002E-3</v>
      </c>
    </row>
    <row r="9" spans="1:21" x14ac:dyDescent="0.25">
      <c r="A9" t="s">
        <v>312</v>
      </c>
      <c r="B9">
        <v>6.51</v>
      </c>
      <c r="C9">
        <v>-0.04</v>
      </c>
      <c r="D9">
        <v>-0.05</v>
      </c>
      <c r="E9">
        <v>3.3000000000000002E-2</v>
      </c>
      <c r="F9" s="33">
        <v>0</v>
      </c>
      <c r="G9">
        <v>3.2000000000000001E-2</v>
      </c>
      <c r="H9">
        <v>-0.03</v>
      </c>
      <c r="I9">
        <v>-7.0000000000000007E-2</v>
      </c>
      <c r="J9">
        <v>-0.03</v>
      </c>
      <c r="K9">
        <v>-0.83</v>
      </c>
      <c r="L9">
        <v>-0.92</v>
      </c>
      <c r="M9" s="33">
        <v>-0.48830000000000001</v>
      </c>
      <c r="N9" s="33">
        <v>-0.877</v>
      </c>
      <c r="O9">
        <v>0.33</v>
      </c>
      <c r="P9" s="33">
        <v>-2.0348000000000002</v>
      </c>
      <c r="Q9" s="33">
        <v>1.4531000000000001</v>
      </c>
      <c r="R9" s="34">
        <v>237325</v>
      </c>
      <c r="S9" s="34">
        <v>-2009680000</v>
      </c>
      <c r="T9">
        <v>-0.75</v>
      </c>
      <c r="U9" s="33">
        <v>-1.4500000000000001E-2</v>
      </c>
    </row>
    <row r="10" spans="1:21" x14ac:dyDescent="0.25">
      <c r="A10" t="s">
        <v>313</v>
      </c>
      <c r="B10">
        <v>45</v>
      </c>
      <c r="C10">
        <v>3.34</v>
      </c>
      <c r="D10">
        <v>1.58</v>
      </c>
      <c r="E10">
        <v>0.55600000000000005</v>
      </c>
      <c r="F10" s="33">
        <v>0</v>
      </c>
      <c r="G10">
        <v>0.69499999999999995</v>
      </c>
      <c r="H10">
        <v>2.19</v>
      </c>
      <c r="I10">
        <v>4.91</v>
      </c>
      <c r="J10">
        <v>-6.6</v>
      </c>
      <c r="K10">
        <v>4.25</v>
      </c>
      <c r="L10">
        <v>3.92</v>
      </c>
      <c r="M10" s="33">
        <v>0.1132</v>
      </c>
      <c r="N10" s="33">
        <v>0.16639999999999999</v>
      </c>
      <c r="O10">
        <v>3.3</v>
      </c>
      <c r="P10" s="33">
        <v>0.17219999999999999</v>
      </c>
      <c r="Q10" s="33">
        <v>0.47449999999999998</v>
      </c>
      <c r="R10" s="34">
        <v>321.43</v>
      </c>
      <c r="S10" s="34">
        <v>242674000</v>
      </c>
      <c r="T10">
        <v>0.02</v>
      </c>
      <c r="U10" s="33">
        <v>0.46410000000000001</v>
      </c>
    </row>
    <row r="11" spans="1:21" x14ac:dyDescent="0.25">
      <c r="A11" t="s">
        <v>314</v>
      </c>
      <c r="B11">
        <v>50</v>
      </c>
      <c r="C11">
        <v>3.71</v>
      </c>
      <c r="D11">
        <v>1.76</v>
      </c>
      <c r="E11">
        <v>0.61699999999999999</v>
      </c>
      <c r="F11" s="33">
        <v>0</v>
      </c>
      <c r="G11">
        <v>0.77300000000000002</v>
      </c>
      <c r="H11">
        <v>2.4300000000000002</v>
      </c>
      <c r="I11">
        <v>5.45</v>
      </c>
      <c r="J11">
        <v>-7.34</v>
      </c>
      <c r="K11">
        <v>4.79</v>
      </c>
      <c r="L11">
        <v>4.42</v>
      </c>
      <c r="M11" s="33">
        <v>0.1132</v>
      </c>
      <c r="N11" s="33">
        <v>0.16639999999999999</v>
      </c>
      <c r="O11">
        <v>3.3</v>
      </c>
      <c r="P11" s="33">
        <v>0.17219999999999999</v>
      </c>
      <c r="Q11" s="33">
        <v>0.47449999999999998</v>
      </c>
      <c r="R11" s="34">
        <v>714.29</v>
      </c>
      <c r="S11" s="34">
        <v>242674000</v>
      </c>
      <c r="T11">
        <v>0.02</v>
      </c>
      <c r="U11" s="33">
        <v>0.46410000000000001</v>
      </c>
    </row>
    <row r="12" spans="1:21" x14ac:dyDescent="0.25">
      <c r="A12" t="s">
        <v>315</v>
      </c>
      <c r="B12">
        <v>55</v>
      </c>
      <c r="C12">
        <v>4.08</v>
      </c>
      <c r="D12">
        <v>1.94</v>
      </c>
      <c r="E12">
        <v>0.67900000000000005</v>
      </c>
      <c r="F12" s="33">
        <v>0</v>
      </c>
      <c r="G12">
        <v>0.85</v>
      </c>
      <c r="H12">
        <v>2.68</v>
      </c>
      <c r="I12">
        <v>6</v>
      </c>
      <c r="J12">
        <v>-8.07</v>
      </c>
      <c r="K12">
        <v>5.34</v>
      </c>
      <c r="L12">
        <v>4.92</v>
      </c>
      <c r="M12" s="33">
        <v>0.1132</v>
      </c>
      <c r="N12" s="33">
        <v>0.16639999999999999</v>
      </c>
      <c r="O12">
        <v>3.3</v>
      </c>
      <c r="P12" s="33">
        <v>0.17219999999999999</v>
      </c>
      <c r="Q12" s="33">
        <v>0.47449999999999998</v>
      </c>
      <c r="R12" s="34">
        <v>261.91000000000003</v>
      </c>
      <c r="S12" s="34">
        <v>242674000</v>
      </c>
      <c r="T12">
        <v>0.02</v>
      </c>
      <c r="U12" s="33">
        <v>0.46410000000000001</v>
      </c>
    </row>
    <row r="13" spans="1:21" x14ac:dyDescent="0.25">
      <c r="A13" t="s">
        <v>57</v>
      </c>
      <c r="B13">
        <v>7.07</v>
      </c>
      <c r="C13">
        <v>6.05</v>
      </c>
      <c r="D13">
        <v>0.42</v>
      </c>
      <c r="E13">
        <v>0.126</v>
      </c>
      <c r="F13" s="33">
        <v>0.1822</v>
      </c>
      <c r="G13">
        <v>0.19500000000000001</v>
      </c>
      <c r="H13">
        <v>0.6</v>
      </c>
      <c r="I13">
        <v>5.51</v>
      </c>
      <c r="J13">
        <v>1.1200000000000001</v>
      </c>
      <c r="K13">
        <v>6.63</v>
      </c>
      <c r="L13">
        <v>4.6399999999999997</v>
      </c>
      <c r="M13" s="33">
        <v>2.29E-2</v>
      </c>
      <c r="N13" s="33">
        <v>2.0799999999999999E-2</v>
      </c>
      <c r="O13">
        <v>1.86</v>
      </c>
      <c r="P13" s="33">
        <v>6.13E-2</v>
      </c>
      <c r="Q13" s="33">
        <v>6.9000000000000006E-2</v>
      </c>
      <c r="R13" s="34">
        <v>434906</v>
      </c>
      <c r="S13" s="34">
        <v>1601680000</v>
      </c>
      <c r="T13">
        <v>0.3</v>
      </c>
      <c r="U13" s="33">
        <v>9.9000000000000008E-3</v>
      </c>
    </row>
    <row r="14" spans="1:21" x14ac:dyDescent="0.25">
      <c r="A14" t="s">
        <v>316</v>
      </c>
      <c r="B14">
        <v>21.48</v>
      </c>
      <c r="C14">
        <v>13.53</v>
      </c>
      <c r="D14">
        <v>0.87</v>
      </c>
      <c r="E14">
        <v>4.2480000000000002</v>
      </c>
      <c r="F14" s="33">
        <v>4.1500000000000002E-2</v>
      </c>
      <c r="G14">
        <v>0.439</v>
      </c>
      <c r="H14">
        <v>4.53</v>
      </c>
      <c r="I14">
        <v>8.7799999999999994</v>
      </c>
      <c r="J14">
        <v>-1.38</v>
      </c>
      <c r="K14">
        <v>6.46</v>
      </c>
      <c r="L14">
        <v>4.42</v>
      </c>
      <c r="M14" s="33">
        <v>0.48359999999999997</v>
      </c>
      <c r="N14" s="33">
        <v>0.35070000000000001</v>
      </c>
      <c r="O14">
        <v>2.87</v>
      </c>
      <c r="P14" s="33">
        <v>5.6599999999999998E-2</v>
      </c>
      <c r="Q14" s="33">
        <v>6.4199999999999993E-2</v>
      </c>
      <c r="R14" s="34">
        <v>76496900</v>
      </c>
      <c r="S14" s="34">
        <v>13432600000</v>
      </c>
      <c r="T14">
        <v>0</v>
      </c>
      <c r="U14" s="33">
        <v>0.42659999999999998</v>
      </c>
    </row>
    <row r="15" spans="1:21" x14ac:dyDescent="0.25">
      <c r="A15" t="s">
        <v>177</v>
      </c>
      <c r="B15">
        <v>9.18</v>
      </c>
      <c r="C15">
        <v>32.07</v>
      </c>
      <c r="D15">
        <v>1.55</v>
      </c>
      <c r="E15">
        <v>1.4690000000000001</v>
      </c>
      <c r="F15" s="33">
        <v>1.0500000000000001E-2</v>
      </c>
      <c r="G15">
        <v>0.98299999999999998</v>
      </c>
      <c r="H15">
        <v>3.73</v>
      </c>
      <c r="I15">
        <v>21.39</v>
      </c>
      <c r="J15">
        <v>7.87</v>
      </c>
      <c r="K15">
        <v>20.68</v>
      </c>
      <c r="L15">
        <v>11.09</v>
      </c>
      <c r="M15" s="33">
        <v>6.8699999999999997E-2</v>
      </c>
      <c r="N15" s="33">
        <v>4.5699999999999998E-2</v>
      </c>
      <c r="O15">
        <v>2.17</v>
      </c>
      <c r="P15" s="33">
        <v>6.0600000000000001E-2</v>
      </c>
      <c r="Q15" s="33">
        <v>4.8300000000000003E-2</v>
      </c>
      <c r="R15" s="34">
        <v>102545</v>
      </c>
      <c r="S15" s="34">
        <v>4051630000</v>
      </c>
      <c r="T15">
        <v>0.22</v>
      </c>
      <c r="U15" s="33">
        <v>3.3799999999999997E-2</v>
      </c>
    </row>
    <row r="16" spans="1:21" x14ac:dyDescent="0.25">
      <c r="A16" t="s">
        <v>67</v>
      </c>
      <c r="B16">
        <v>9.15</v>
      </c>
      <c r="C16">
        <v>31.96</v>
      </c>
      <c r="D16">
        <v>1.54</v>
      </c>
      <c r="E16">
        <v>1.464</v>
      </c>
      <c r="F16" s="33">
        <v>1.1599999999999999E-2</v>
      </c>
      <c r="G16">
        <v>0.97899999999999998</v>
      </c>
      <c r="H16">
        <v>3.71</v>
      </c>
      <c r="I16">
        <v>21.32</v>
      </c>
      <c r="J16">
        <v>7.84</v>
      </c>
      <c r="K16">
        <v>20.61</v>
      </c>
      <c r="L16">
        <v>11.06</v>
      </c>
      <c r="M16" s="33">
        <v>6.8699999999999997E-2</v>
      </c>
      <c r="N16" s="33">
        <v>4.5699999999999998E-2</v>
      </c>
      <c r="O16">
        <v>2.17</v>
      </c>
      <c r="P16" s="33">
        <v>6.0600000000000001E-2</v>
      </c>
      <c r="Q16" s="33">
        <v>4.8300000000000003E-2</v>
      </c>
      <c r="R16" s="34">
        <v>22126400</v>
      </c>
      <c r="S16" s="34">
        <v>4051630000</v>
      </c>
      <c r="T16">
        <v>0.22</v>
      </c>
      <c r="U16" s="33">
        <v>3.3799999999999997E-2</v>
      </c>
    </row>
    <row r="17" spans="1:21" x14ac:dyDescent="0.25">
      <c r="A17" t="s">
        <v>317</v>
      </c>
      <c r="B17">
        <v>3.25</v>
      </c>
      <c r="C17">
        <v>-153.69999999999999</v>
      </c>
      <c r="D17">
        <v>2.04</v>
      </c>
      <c r="E17">
        <v>0.43</v>
      </c>
      <c r="F17" s="33">
        <v>0</v>
      </c>
      <c r="G17">
        <v>0.28799999999999998</v>
      </c>
      <c r="H17">
        <v>-2.46</v>
      </c>
      <c r="I17">
        <v>1.75</v>
      </c>
      <c r="J17">
        <v>-0.41</v>
      </c>
      <c r="K17">
        <v>4.88</v>
      </c>
      <c r="L17">
        <v>3.03</v>
      </c>
      <c r="M17" s="33">
        <v>0.24579999999999999</v>
      </c>
      <c r="N17" s="33">
        <v>2E-3</v>
      </c>
      <c r="O17">
        <v>0.57999999999999996</v>
      </c>
      <c r="P17" s="33">
        <v>0.18340000000000001</v>
      </c>
      <c r="Q17" s="33">
        <v>-1.3299999999999999E-2</v>
      </c>
      <c r="R17" s="34">
        <v>356469</v>
      </c>
      <c r="S17" s="34">
        <v>346060000</v>
      </c>
      <c r="T17">
        <v>4.1399999999999997</v>
      </c>
      <c r="U17" s="33">
        <v>0.29049999999999998</v>
      </c>
    </row>
    <row r="18" spans="1:21" x14ac:dyDescent="0.25">
      <c r="A18" t="s">
        <v>318</v>
      </c>
      <c r="B18">
        <v>30.12</v>
      </c>
      <c r="C18">
        <v>8.7899999999999991</v>
      </c>
      <c r="D18">
        <v>1.17</v>
      </c>
      <c r="E18">
        <v>2.3479999999999999</v>
      </c>
      <c r="F18" s="33">
        <v>2.7799999999999998E-2</v>
      </c>
      <c r="G18">
        <v>0.318</v>
      </c>
      <c r="H18">
        <v>2.9</v>
      </c>
      <c r="I18">
        <v>3.51</v>
      </c>
      <c r="J18">
        <v>-0.79</v>
      </c>
      <c r="K18">
        <v>6.68</v>
      </c>
      <c r="L18">
        <v>6.28</v>
      </c>
      <c r="M18" s="33">
        <v>0.66830000000000001</v>
      </c>
      <c r="N18" s="33">
        <v>0.45929999999999999</v>
      </c>
      <c r="O18">
        <v>2.15</v>
      </c>
      <c r="P18" s="33">
        <v>0.1036</v>
      </c>
      <c r="Q18" s="33">
        <v>0.1326</v>
      </c>
      <c r="R18" s="34">
        <v>28060500</v>
      </c>
      <c r="S18" s="34">
        <v>8518980000</v>
      </c>
      <c r="T18">
        <v>1.48</v>
      </c>
      <c r="U18" s="33">
        <v>-0.1187</v>
      </c>
    </row>
    <row r="19" spans="1:21" x14ac:dyDescent="0.25">
      <c r="A19" t="s">
        <v>319</v>
      </c>
      <c r="B19">
        <v>10.81</v>
      </c>
      <c r="C19">
        <v>9.4600000000000009</v>
      </c>
      <c r="D19">
        <v>1.25</v>
      </c>
      <c r="E19">
        <v>2.528</v>
      </c>
      <c r="F19" s="33">
        <v>2.58E-2</v>
      </c>
      <c r="G19">
        <v>0.34300000000000003</v>
      </c>
      <c r="H19">
        <v>3.12</v>
      </c>
      <c r="I19">
        <v>3.78</v>
      </c>
      <c r="J19">
        <v>-0.85</v>
      </c>
      <c r="K19">
        <v>6.95</v>
      </c>
      <c r="L19">
        <v>6.54</v>
      </c>
      <c r="M19" s="33">
        <v>0.66830000000000001</v>
      </c>
      <c r="N19" s="33">
        <v>0.45929999999999999</v>
      </c>
      <c r="O19">
        <v>2.15</v>
      </c>
      <c r="P19" s="33">
        <v>0.1036</v>
      </c>
      <c r="Q19" s="33">
        <v>0.1326</v>
      </c>
      <c r="R19" s="34">
        <v>90694.3</v>
      </c>
      <c r="S19" s="34">
        <v>8518980000</v>
      </c>
      <c r="T19">
        <v>1.48</v>
      </c>
      <c r="U19" s="33">
        <v>-0.1187</v>
      </c>
    </row>
    <row r="20" spans="1:21" x14ac:dyDescent="0.25">
      <c r="A20" t="s">
        <v>66</v>
      </c>
      <c r="B20">
        <v>9.6300000000000008</v>
      </c>
      <c r="C20">
        <v>8.43</v>
      </c>
      <c r="D20">
        <v>1.1200000000000001</v>
      </c>
      <c r="E20">
        <v>2.2519999999999998</v>
      </c>
      <c r="F20" s="33">
        <v>2.9000000000000001E-2</v>
      </c>
      <c r="G20">
        <v>0.30499999999999999</v>
      </c>
      <c r="H20">
        <v>2.78</v>
      </c>
      <c r="I20">
        <v>3.37</v>
      </c>
      <c r="J20">
        <v>-0.76</v>
      </c>
      <c r="K20">
        <v>6.54</v>
      </c>
      <c r="L20">
        <v>6.15</v>
      </c>
      <c r="M20" s="33">
        <v>0.66830000000000001</v>
      </c>
      <c r="N20" s="33">
        <v>0.45929999999999999</v>
      </c>
      <c r="O20">
        <v>2.15</v>
      </c>
      <c r="P20" s="33">
        <v>0.1036</v>
      </c>
      <c r="Q20" s="33">
        <v>0.1326</v>
      </c>
      <c r="R20" s="34">
        <v>144794</v>
      </c>
      <c r="S20" s="34">
        <v>8518980000</v>
      </c>
      <c r="T20">
        <v>1.48</v>
      </c>
      <c r="U20" s="33">
        <v>-0.1187</v>
      </c>
    </row>
    <row r="21" spans="1:21" x14ac:dyDescent="0.25">
      <c r="A21" t="s">
        <v>320</v>
      </c>
      <c r="B21">
        <v>1.4</v>
      </c>
      <c r="C21">
        <v>-4.3499999999999996</v>
      </c>
      <c r="D21">
        <v>2.5</v>
      </c>
      <c r="E21">
        <v>0.5</v>
      </c>
      <c r="F21" s="33">
        <v>0</v>
      </c>
      <c r="G21">
        <v>0.35199999999999998</v>
      </c>
      <c r="H21">
        <v>-1.93</v>
      </c>
      <c r="I21">
        <v>7.03</v>
      </c>
      <c r="J21">
        <v>-0.61</v>
      </c>
      <c r="K21">
        <v>13.24</v>
      </c>
      <c r="L21">
        <v>5.01</v>
      </c>
      <c r="M21" s="33">
        <v>7.1199999999999999E-2</v>
      </c>
      <c r="N21" s="33">
        <v>-0.1149</v>
      </c>
      <c r="O21">
        <v>0.6</v>
      </c>
      <c r="P21" s="33">
        <v>6.3100000000000003E-2</v>
      </c>
      <c r="Q21" s="33">
        <v>-0.57469999999999999</v>
      </c>
      <c r="R21" s="34">
        <v>492535</v>
      </c>
      <c r="S21" s="34">
        <v>287288000</v>
      </c>
      <c r="T21">
        <v>2.2400000000000002</v>
      </c>
      <c r="U21" s="33">
        <v>-0.12559999999999999</v>
      </c>
    </row>
    <row r="22" spans="1:21" x14ac:dyDescent="0.25">
      <c r="A22" t="s">
        <v>196</v>
      </c>
      <c r="B22">
        <v>169.82</v>
      </c>
      <c r="C22">
        <v>-126.18</v>
      </c>
      <c r="D22">
        <v>21.56</v>
      </c>
      <c r="E22">
        <v>4.1189999999999998</v>
      </c>
      <c r="F22" s="33">
        <v>0</v>
      </c>
      <c r="G22">
        <v>1.651</v>
      </c>
      <c r="H22">
        <v>5.72</v>
      </c>
      <c r="I22">
        <v>24.9</v>
      </c>
      <c r="J22">
        <v>-3.93</v>
      </c>
      <c r="K22">
        <v>30.38</v>
      </c>
      <c r="L22">
        <v>18.32</v>
      </c>
      <c r="M22" s="33">
        <v>0.16539999999999999</v>
      </c>
      <c r="N22" s="33">
        <v>-1.9699999999999999E-2</v>
      </c>
      <c r="O22">
        <v>2.88</v>
      </c>
      <c r="P22" s="33">
        <v>9.64E-2</v>
      </c>
      <c r="Q22" s="33">
        <v>-0.1709</v>
      </c>
      <c r="R22" s="34">
        <v>18121000</v>
      </c>
      <c r="S22" s="34">
        <v>1315480000</v>
      </c>
      <c r="T22">
        <v>8.5</v>
      </c>
      <c r="U22" s="33">
        <v>0.6452</v>
      </c>
    </row>
    <row r="23" spans="1:21" x14ac:dyDescent="0.25">
      <c r="A23" t="s">
        <v>321</v>
      </c>
      <c r="B23">
        <v>5.34</v>
      </c>
      <c r="C23">
        <v>0.15</v>
      </c>
      <c r="D23">
        <v>0.24</v>
      </c>
      <c r="E23">
        <v>7.8E-2</v>
      </c>
      <c r="F23" s="33">
        <v>0</v>
      </c>
      <c r="G23">
        <v>6.2E-2</v>
      </c>
      <c r="H23">
        <v>0.45</v>
      </c>
      <c r="I23">
        <v>-0.82</v>
      </c>
      <c r="J23">
        <v>-0.19</v>
      </c>
      <c r="K23">
        <v>-1.56</v>
      </c>
      <c r="L23">
        <v>-6.87</v>
      </c>
      <c r="M23" s="33">
        <v>-9.5399999999999999E-2</v>
      </c>
      <c r="N23" s="33">
        <v>0.53639999999999999</v>
      </c>
      <c r="O23">
        <v>1.49</v>
      </c>
      <c r="P23" s="33">
        <v>-9.4299999999999995E-2</v>
      </c>
      <c r="Q23" s="33">
        <v>1.6384000000000001</v>
      </c>
      <c r="R23" s="34">
        <v>12859300</v>
      </c>
      <c r="S23" s="34">
        <v>4475000000</v>
      </c>
      <c r="T23">
        <v>0.41</v>
      </c>
      <c r="U23" s="33">
        <v>-1.9599999999999999E-2</v>
      </c>
    </row>
    <row r="24" spans="1:21" x14ac:dyDescent="0.25">
      <c r="A24" t="s">
        <v>322</v>
      </c>
      <c r="B24">
        <v>11.03</v>
      </c>
      <c r="C24">
        <v>-3.33</v>
      </c>
      <c r="D24">
        <v>0.18</v>
      </c>
      <c r="E24">
        <v>2.9000000000000001E-2</v>
      </c>
      <c r="F24" s="33">
        <v>0</v>
      </c>
      <c r="G24">
        <v>4.7E-2</v>
      </c>
      <c r="H24">
        <v>0.21</v>
      </c>
      <c r="I24">
        <v>1.44</v>
      </c>
      <c r="J24">
        <v>-0.31</v>
      </c>
      <c r="K24">
        <v>10.38</v>
      </c>
      <c r="L24">
        <v>5.6</v>
      </c>
      <c r="M24" s="33">
        <v>0.02</v>
      </c>
      <c r="N24" s="33">
        <v>-8.6E-3</v>
      </c>
      <c r="O24">
        <v>1.61</v>
      </c>
      <c r="P24" s="33">
        <v>4.4999999999999998E-2</v>
      </c>
      <c r="Q24" s="33">
        <v>-5.5500000000000001E-2</v>
      </c>
      <c r="R24" s="34">
        <v>2410340</v>
      </c>
      <c r="S24" s="34">
        <v>2262550000</v>
      </c>
      <c r="T24">
        <v>1.53</v>
      </c>
      <c r="U24" s="33">
        <v>0</v>
      </c>
    </row>
    <row r="25" spans="1:21" x14ac:dyDescent="0.25">
      <c r="A25" t="s">
        <v>167</v>
      </c>
      <c r="B25">
        <v>4.03</v>
      </c>
      <c r="C25">
        <v>13.99</v>
      </c>
      <c r="D25">
        <v>0.69</v>
      </c>
      <c r="E25">
        <v>0.42299999999999999</v>
      </c>
      <c r="F25" s="33">
        <v>0.13020000000000001</v>
      </c>
      <c r="G25">
        <v>0.16300000000000001</v>
      </c>
      <c r="H25">
        <v>1.36</v>
      </c>
      <c r="I25">
        <v>1.53</v>
      </c>
      <c r="J25">
        <v>-0.34</v>
      </c>
      <c r="K25">
        <v>5.28</v>
      </c>
      <c r="L25">
        <v>3.68</v>
      </c>
      <c r="M25" s="33">
        <v>0.27600000000000002</v>
      </c>
      <c r="N25" s="33">
        <v>6.4199999999999993E-2</v>
      </c>
      <c r="O25">
        <v>2.06</v>
      </c>
      <c r="P25" s="33">
        <v>0.1275</v>
      </c>
      <c r="Q25" s="33">
        <v>4.9099999999999998E-2</v>
      </c>
      <c r="R25" s="34">
        <v>34118800</v>
      </c>
      <c r="S25" s="34">
        <v>2369750000</v>
      </c>
      <c r="T25">
        <v>2.27</v>
      </c>
      <c r="U25" s="33">
        <v>0.23</v>
      </c>
    </row>
    <row r="26" spans="1:21" x14ac:dyDescent="0.25">
      <c r="A26" t="s">
        <v>264</v>
      </c>
      <c r="B26">
        <v>5</v>
      </c>
      <c r="C26">
        <v>13.3</v>
      </c>
      <c r="D26">
        <v>1.37</v>
      </c>
      <c r="E26">
        <v>0.95299999999999996</v>
      </c>
      <c r="F26" s="33">
        <v>6.3299999999999995E-2</v>
      </c>
      <c r="G26">
        <v>0.379</v>
      </c>
      <c r="H26">
        <v>2.12</v>
      </c>
      <c r="I26">
        <v>3.6</v>
      </c>
      <c r="J26">
        <v>-0.93</v>
      </c>
      <c r="K26">
        <v>7.23</v>
      </c>
      <c r="L26">
        <v>4.99</v>
      </c>
      <c r="M26" s="33">
        <v>0.26490000000000002</v>
      </c>
      <c r="N26" s="33">
        <v>7.1599999999999997E-2</v>
      </c>
      <c r="O26">
        <v>2.42</v>
      </c>
      <c r="P26" s="33">
        <v>0.13800000000000001</v>
      </c>
      <c r="Q26" s="33">
        <v>0.1031</v>
      </c>
      <c r="R26" s="34">
        <v>3618990</v>
      </c>
      <c r="S26" s="34">
        <v>1263400000</v>
      </c>
      <c r="T26">
        <v>1.96</v>
      </c>
      <c r="U26" s="33">
        <v>0.49309999999999998</v>
      </c>
    </row>
    <row r="27" spans="1:21" x14ac:dyDescent="0.25">
      <c r="A27" t="s">
        <v>182</v>
      </c>
      <c r="B27">
        <v>10.91</v>
      </c>
      <c r="C27">
        <v>17.86</v>
      </c>
      <c r="D27">
        <v>2.74</v>
      </c>
      <c r="E27">
        <v>0.19600000000000001</v>
      </c>
      <c r="F27" s="33">
        <v>9.7999999999999997E-3</v>
      </c>
      <c r="G27">
        <v>0.33</v>
      </c>
      <c r="H27">
        <v>18.21</v>
      </c>
      <c r="I27">
        <v>2.69</v>
      </c>
      <c r="J27">
        <v>-0.63</v>
      </c>
      <c r="K27">
        <v>4.8499999999999996</v>
      </c>
      <c r="L27">
        <v>3.72</v>
      </c>
      <c r="M27" s="33">
        <v>7.3099999999999998E-2</v>
      </c>
      <c r="N27" s="33">
        <v>1.0999999999999999E-2</v>
      </c>
      <c r="O27">
        <v>1.05</v>
      </c>
      <c r="P27" s="33">
        <v>0.1903</v>
      </c>
      <c r="Q27" s="33">
        <v>0.15340000000000001</v>
      </c>
      <c r="R27" s="34">
        <v>137363000</v>
      </c>
      <c r="S27" s="34">
        <v>5385000000</v>
      </c>
      <c r="T27">
        <v>3.03</v>
      </c>
      <c r="U27" s="33">
        <v>0.2361</v>
      </c>
    </row>
    <row r="28" spans="1:21" x14ac:dyDescent="0.25">
      <c r="A28" t="s">
        <v>323</v>
      </c>
      <c r="B28">
        <v>1.84</v>
      </c>
      <c r="C28">
        <v>-8.68</v>
      </c>
      <c r="D28">
        <v>2.06</v>
      </c>
      <c r="E28">
        <v>1.4039999999999999</v>
      </c>
      <c r="F28" s="33">
        <v>0</v>
      </c>
      <c r="G28">
        <v>1.6679999999999999</v>
      </c>
      <c r="H28">
        <v>3.86</v>
      </c>
      <c r="I28">
        <v>23.66</v>
      </c>
      <c r="J28">
        <v>4.2</v>
      </c>
      <c r="K28">
        <v>23.26</v>
      </c>
      <c r="L28">
        <v>14.19</v>
      </c>
      <c r="M28" s="33">
        <v>5.9299999999999999E-2</v>
      </c>
      <c r="N28" s="33">
        <v>-0.1111</v>
      </c>
      <c r="O28">
        <v>6.45</v>
      </c>
      <c r="P28" s="33">
        <v>7.8299999999999995E-2</v>
      </c>
      <c r="Q28" s="33">
        <v>-0.2379</v>
      </c>
      <c r="R28" s="34">
        <v>110187</v>
      </c>
      <c r="S28" s="34">
        <v>21223000</v>
      </c>
      <c r="T28">
        <v>0.06</v>
      </c>
      <c r="U28" s="33">
        <v>0</v>
      </c>
    </row>
    <row r="29" spans="1:21" x14ac:dyDescent="0.25">
      <c r="A29" t="s">
        <v>265</v>
      </c>
      <c r="B29">
        <v>1.25</v>
      </c>
      <c r="C29">
        <v>-0.21</v>
      </c>
      <c r="D29">
        <v>0.31</v>
      </c>
      <c r="E29">
        <v>8.5000000000000006E-2</v>
      </c>
      <c r="F29" s="33">
        <v>0</v>
      </c>
      <c r="G29">
        <v>0.03</v>
      </c>
      <c r="H29">
        <v>-0.12</v>
      </c>
      <c r="I29">
        <v>-0.62</v>
      </c>
      <c r="J29">
        <v>-0.04</v>
      </c>
      <c r="K29">
        <v>-3.53</v>
      </c>
      <c r="L29">
        <v>-17.98</v>
      </c>
      <c r="M29" s="33">
        <v>-0.1366</v>
      </c>
      <c r="N29" s="33">
        <v>-0.41139999999999999</v>
      </c>
      <c r="O29">
        <v>0.38</v>
      </c>
      <c r="P29" s="33">
        <v>-5.28E-2</v>
      </c>
      <c r="Q29" s="33">
        <v>-1.5024</v>
      </c>
      <c r="R29" s="34">
        <v>16591.3</v>
      </c>
      <c r="S29" s="34">
        <v>107351000</v>
      </c>
      <c r="T29">
        <v>2.09</v>
      </c>
      <c r="U29" s="33">
        <v>-0.25879999999999997</v>
      </c>
    </row>
    <row r="30" spans="1:21" x14ac:dyDescent="0.25">
      <c r="A30" t="s">
        <v>324</v>
      </c>
      <c r="B30">
        <v>50.05</v>
      </c>
      <c r="C30">
        <v>-20.420000000000002</v>
      </c>
      <c r="D30">
        <v>13.54</v>
      </c>
      <c r="E30">
        <v>3.0920000000000001</v>
      </c>
      <c r="F30" s="33">
        <v>2.1100000000000001E-2</v>
      </c>
      <c r="G30">
        <v>1.6619999999999999</v>
      </c>
      <c r="H30">
        <v>38.119999999999997</v>
      </c>
      <c r="I30">
        <v>7.75</v>
      </c>
      <c r="J30">
        <v>-2.84</v>
      </c>
      <c r="K30">
        <v>8.85</v>
      </c>
      <c r="L30">
        <v>8.85</v>
      </c>
      <c r="M30" s="33">
        <v>0.39900000000000002</v>
      </c>
      <c r="N30" s="33">
        <v>-0.15140000000000001</v>
      </c>
      <c r="O30">
        <v>1.17</v>
      </c>
      <c r="P30" s="33">
        <v>0.2918</v>
      </c>
      <c r="Q30" s="33">
        <v>-0.66269999999999996</v>
      </c>
      <c r="R30" s="34">
        <v>12329200</v>
      </c>
      <c r="S30" s="34">
        <v>803132000</v>
      </c>
      <c r="T30">
        <v>3.34</v>
      </c>
      <c r="U30" s="33">
        <v>0.1147</v>
      </c>
    </row>
    <row r="31" spans="1:21" x14ac:dyDescent="0.25">
      <c r="A31" t="s">
        <v>87</v>
      </c>
      <c r="B31">
        <v>10.02</v>
      </c>
      <c r="C31" s="34">
        <v>1809.63</v>
      </c>
      <c r="D31">
        <v>0.79</v>
      </c>
      <c r="E31">
        <v>1.095</v>
      </c>
      <c r="F31" s="33">
        <v>5.7000000000000002E-3</v>
      </c>
      <c r="G31">
        <v>0.20100000000000001</v>
      </c>
      <c r="H31">
        <v>3.05</v>
      </c>
      <c r="I31">
        <v>7.24</v>
      </c>
      <c r="J31">
        <v>-0.4</v>
      </c>
      <c r="K31">
        <v>20.99</v>
      </c>
      <c r="L31" s="34">
        <v>13.14</v>
      </c>
      <c r="M31" s="33">
        <v>0.1512</v>
      </c>
      <c r="N31" s="33">
        <v>7.4999999999999997E-3</v>
      </c>
      <c r="O31">
        <v>1.45</v>
      </c>
      <c r="P31" s="33">
        <v>3.2300000000000002E-2</v>
      </c>
      <c r="Q31" s="33">
        <v>4.0000000000000002E-4</v>
      </c>
      <c r="R31" s="34">
        <v>44565600</v>
      </c>
      <c r="S31" s="34">
        <v>13251500000</v>
      </c>
      <c r="T31">
        <v>1.97</v>
      </c>
      <c r="U31" s="33">
        <v>0.3977</v>
      </c>
    </row>
    <row r="32" spans="1:21" x14ac:dyDescent="0.25">
      <c r="A32" t="s">
        <v>325</v>
      </c>
      <c r="B32">
        <v>1.86</v>
      </c>
      <c r="C32">
        <v>-31.01</v>
      </c>
      <c r="D32">
        <v>-4.18</v>
      </c>
      <c r="E32">
        <v>0.52300000000000002</v>
      </c>
      <c r="F32" s="33">
        <v>0</v>
      </c>
      <c r="G32">
        <v>0.26200000000000001</v>
      </c>
      <c r="H32">
        <v>-4.1100000000000003</v>
      </c>
      <c r="I32">
        <v>1.9</v>
      </c>
      <c r="J32">
        <v>-0.4</v>
      </c>
      <c r="K32">
        <v>4.18</v>
      </c>
      <c r="L32" s="34">
        <v>4.1500000000000004</v>
      </c>
      <c r="M32" s="33">
        <v>0.2752</v>
      </c>
      <c r="N32" s="33">
        <v>1.3899999999999999E-2</v>
      </c>
      <c r="O32">
        <v>0.86</v>
      </c>
      <c r="P32" s="33">
        <v>0.1759</v>
      </c>
      <c r="Q32" s="33">
        <v>0.13469999999999999</v>
      </c>
      <c r="R32" s="34">
        <v>41021.599999999999</v>
      </c>
      <c r="S32" s="34">
        <v>-86998000</v>
      </c>
      <c r="T32">
        <v>-7.67</v>
      </c>
      <c r="U32" s="33">
        <v>0.33529999999999999</v>
      </c>
    </row>
    <row r="33" spans="1:21" x14ac:dyDescent="0.25">
      <c r="A33" t="s">
        <v>249</v>
      </c>
      <c r="B33">
        <v>0.5</v>
      </c>
      <c r="C33">
        <v>-1.1299999999999999</v>
      </c>
      <c r="D33">
        <v>0.41</v>
      </c>
      <c r="E33">
        <v>1.9279999999999999</v>
      </c>
      <c r="F33" s="33">
        <v>0</v>
      </c>
      <c r="G33">
        <v>0.22600000000000001</v>
      </c>
      <c r="H33">
        <v>-1.45</v>
      </c>
      <c r="I33">
        <v>-2.83</v>
      </c>
      <c r="J33">
        <v>-0.69</v>
      </c>
      <c r="K33" s="34">
        <v>-4.1100000000000003</v>
      </c>
      <c r="L33">
        <v>-6.35</v>
      </c>
      <c r="M33" s="33">
        <v>-0.68030000000000002</v>
      </c>
      <c r="N33" s="33">
        <v>-1.7121</v>
      </c>
      <c r="O33">
        <v>0.44</v>
      </c>
      <c r="P33" s="33">
        <v>-8.7300000000000003E-2</v>
      </c>
      <c r="Q33" s="33">
        <v>-0.36630000000000001</v>
      </c>
      <c r="R33" s="34">
        <v>1182150</v>
      </c>
      <c r="S33" s="34">
        <v>718475000</v>
      </c>
      <c r="T33">
        <v>0.2</v>
      </c>
      <c r="U33" s="33">
        <v>0.54369999999999996</v>
      </c>
    </row>
    <row r="34" spans="1:21" x14ac:dyDescent="0.25">
      <c r="A34" t="s">
        <v>237</v>
      </c>
      <c r="B34">
        <v>0.69</v>
      </c>
      <c r="C34">
        <v>-1.55</v>
      </c>
      <c r="D34">
        <v>0.56999999999999995</v>
      </c>
      <c r="E34">
        <v>2.661</v>
      </c>
      <c r="F34" s="33">
        <v>0</v>
      </c>
      <c r="G34">
        <v>0.312</v>
      </c>
      <c r="H34">
        <v>-2</v>
      </c>
      <c r="I34">
        <v>-3.91</v>
      </c>
      <c r="J34">
        <v>-0.95</v>
      </c>
      <c r="K34">
        <v>-5.18</v>
      </c>
      <c r="L34">
        <v>-8.01</v>
      </c>
      <c r="M34" s="33">
        <v>-0.68030000000000002</v>
      </c>
      <c r="N34" s="33">
        <v>-1.7121</v>
      </c>
      <c r="O34">
        <v>0.44</v>
      </c>
      <c r="P34" s="33">
        <v>-8.7300000000000003E-2</v>
      </c>
      <c r="Q34" s="33">
        <v>-0.36630000000000001</v>
      </c>
      <c r="R34" s="34">
        <v>3182830</v>
      </c>
      <c r="S34" s="34">
        <v>718475000</v>
      </c>
      <c r="T34">
        <v>0.2</v>
      </c>
      <c r="U34" s="33">
        <v>0.54369999999999996</v>
      </c>
    </row>
    <row r="35" spans="1:21" x14ac:dyDescent="0.25">
      <c r="A35" t="s">
        <v>326</v>
      </c>
      <c r="B35">
        <v>0.6</v>
      </c>
      <c r="C35">
        <v>-2.75</v>
      </c>
      <c r="D35">
        <v>0.79</v>
      </c>
      <c r="E35">
        <v>44.820999999999998</v>
      </c>
      <c r="F35" s="33">
        <v>0</v>
      </c>
      <c r="G35">
        <v>0.58699999999999997</v>
      </c>
      <c r="H35">
        <v>-7.1</v>
      </c>
      <c r="I35">
        <v>-15.68</v>
      </c>
      <c r="J35">
        <v>-2.36</v>
      </c>
      <c r="K35">
        <v>-16.79</v>
      </c>
      <c r="L35">
        <v>-118.64</v>
      </c>
      <c r="M35" s="33">
        <v>-2.8586</v>
      </c>
      <c r="N35" s="33">
        <v>-16.324400000000001</v>
      </c>
      <c r="O35">
        <v>0.08</v>
      </c>
      <c r="P35" s="33">
        <v>-3.8100000000000002E-2</v>
      </c>
      <c r="Q35" s="33">
        <v>-0.28770000000000001</v>
      </c>
      <c r="R35" s="34">
        <v>2073240</v>
      </c>
      <c r="S35" s="34">
        <v>150106000</v>
      </c>
      <c r="T35">
        <v>0.06</v>
      </c>
      <c r="U35" s="33">
        <v>0</v>
      </c>
    </row>
    <row r="36" spans="1:21" x14ac:dyDescent="0.25">
      <c r="A36" t="s">
        <v>258</v>
      </c>
      <c r="B36">
        <v>0.99</v>
      </c>
      <c r="C36">
        <v>0.08</v>
      </c>
      <c r="D36">
        <v>-0.03</v>
      </c>
      <c r="E36">
        <v>4.4999999999999998E-2</v>
      </c>
      <c r="F36" s="33">
        <v>0</v>
      </c>
      <c r="G36">
        <v>3.5999999999999997E-2</v>
      </c>
      <c r="H36">
        <v>-0.08</v>
      </c>
      <c r="I36">
        <v>0.2</v>
      </c>
      <c r="J36">
        <v>-0.02</v>
      </c>
      <c r="K36">
        <v>7.55</v>
      </c>
      <c r="L36">
        <v>4.68</v>
      </c>
      <c r="M36" s="33">
        <v>0.22259999999999999</v>
      </c>
      <c r="N36" s="33">
        <v>0.58760000000000001</v>
      </c>
      <c r="O36">
        <v>0.35</v>
      </c>
      <c r="P36" s="33">
        <v>0.22220000000000001</v>
      </c>
      <c r="Q36" s="33">
        <v>-0.41810000000000003</v>
      </c>
      <c r="R36" s="34">
        <v>133442000</v>
      </c>
      <c r="S36" s="34">
        <v>-28451100000</v>
      </c>
      <c r="T36">
        <v>-1.22</v>
      </c>
      <c r="U36" s="33">
        <v>0.4042</v>
      </c>
    </row>
    <row r="37" spans="1:21" x14ac:dyDescent="0.25">
      <c r="A37" t="s">
        <v>327</v>
      </c>
      <c r="B37">
        <v>41.13</v>
      </c>
      <c r="C37">
        <v>21.98</v>
      </c>
      <c r="D37">
        <v>1.0900000000000001</v>
      </c>
      <c r="E37">
        <v>0.84899999999999998</v>
      </c>
      <c r="F37" s="33">
        <v>2.1100000000000001E-2</v>
      </c>
      <c r="G37">
        <v>0.55400000000000005</v>
      </c>
      <c r="H37">
        <v>3.41</v>
      </c>
      <c r="I37">
        <v>11.86</v>
      </c>
      <c r="J37">
        <v>-17.440000000000001</v>
      </c>
      <c r="K37">
        <v>14.85</v>
      </c>
      <c r="L37">
        <v>8.59</v>
      </c>
      <c r="M37" s="33">
        <v>7.1599999999999997E-2</v>
      </c>
      <c r="N37" s="33">
        <v>3.85E-2</v>
      </c>
      <c r="O37">
        <v>1.55</v>
      </c>
      <c r="P37" s="33">
        <v>5.6800000000000003E-2</v>
      </c>
      <c r="Q37" s="33">
        <v>4.9500000000000002E-2</v>
      </c>
      <c r="R37" s="34">
        <v>108881000</v>
      </c>
      <c r="S37" s="34">
        <v>7804360000</v>
      </c>
      <c r="T37">
        <v>0.42</v>
      </c>
      <c r="U37" s="33">
        <v>0.48170000000000002</v>
      </c>
    </row>
    <row r="38" spans="1:21" x14ac:dyDescent="0.25">
      <c r="A38" t="s">
        <v>183</v>
      </c>
      <c r="B38">
        <v>13.05</v>
      </c>
      <c r="C38">
        <v>14.52</v>
      </c>
      <c r="D38">
        <v>3.66</v>
      </c>
      <c r="E38">
        <v>6.3849999999999998</v>
      </c>
      <c r="F38" s="33">
        <v>2.47E-2</v>
      </c>
      <c r="G38">
        <v>1.4850000000000001</v>
      </c>
      <c r="H38">
        <v>8.0399999999999991</v>
      </c>
      <c r="I38">
        <v>10.77</v>
      </c>
      <c r="J38">
        <v>-6.05</v>
      </c>
      <c r="K38">
        <v>10.82</v>
      </c>
      <c r="L38">
        <v>10.199999999999999</v>
      </c>
      <c r="M38" s="33">
        <v>0.59299999999999997</v>
      </c>
      <c r="N38" s="33">
        <v>0.43969999999999998</v>
      </c>
      <c r="O38">
        <v>2.13</v>
      </c>
      <c r="P38" s="33">
        <v>0.20280000000000001</v>
      </c>
      <c r="Q38" s="33">
        <v>0.25180000000000002</v>
      </c>
      <c r="R38" s="34">
        <v>634013000</v>
      </c>
      <c r="S38" s="34">
        <v>18794600000</v>
      </c>
      <c r="T38">
        <v>0.79</v>
      </c>
      <c r="U38" s="33">
        <v>1.6E-2</v>
      </c>
    </row>
    <row r="39" spans="1:21" x14ac:dyDescent="0.25">
      <c r="A39" t="s">
        <v>328</v>
      </c>
      <c r="B39">
        <v>20</v>
      </c>
      <c r="C39">
        <v>6.32</v>
      </c>
      <c r="D39">
        <v>1.07</v>
      </c>
      <c r="E39">
        <v>0.94499999999999995</v>
      </c>
      <c r="F39" s="33">
        <v>6.7900000000000002E-2</v>
      </c>
      <c r="G39">
        <v>0.69599999999999995</v>
      </c>
      <c r="H39">
        <v>1.37</v>
      </c>
      <c r="I39">
        <v>5.75</v>
      </c>
      <c r="J39">
        <v>1.86</v>
      </c>
      <c r="K39">
        <v>3.91</v>
      </c>
      <c r="L39">
        <v>3.4</v>
      </c>
      <c r="M39" s="33">
        <v>0.16450000000000001</v>
      </c>
      <c r="N39" s="33">
        <v>0.1517</v>
      </c>
      <c r="O39">
        <v>3.3</v>
      </c>
      <c r="P39" s="33">
        <v>0.17910000000000001</v>
      </c>
      <c r="Q39" s="33">
        <v>0.1699</v>
      </c>
      <c r="R39" s="34">
        <v>431.88</v>
      </c>
      <c r="S39" s="34">
        <v>182554000</v>
      </c>
      <c r="T39">
        <v>0.09</v>
      </c>
      <c r="U39" s="33">
        <v>6.9500000000000006E-2</v>
      </c>
    </row>
    <row r="40" spans="1:21" x14ac:dyDescent="0.25">
      <c r="A40" t="s">
        <v>329</v>
      </c>
      <c r="B40">
        <v>15.69</v>
      </c>
      <c r="C40">
        <v>4.96</v>
      </c>
      <c r="D40">
        <v>0.84</v>
      </c>
      <c r="E40">
        <v>0.74199999999999999</v>
      </c>
      <c r="F40" s="33">
        <v>8.6499999999999994E-2</v>
      </c>
      <c r="G40">
        <v>0.54600000000000004</v>
      </c>
      <c r="H40">
        <v>1.07</v>
      </c>
      <c r="I40">
        <v>4.51</v>
      </c>
      <c r="J40">
        <v>1.46</v>
      </c>
      <c r="K40">
        <v>2.67</v>
      </c>
      <c r="L40">
        <v>2.3199999999999998</v>
      </c>
      <c r="M40" s="33">
        <v>0.16450000000000001</v>
      </c>
      <c r="N40" s="33">
        <v>0.1517</v>
      </c>
      <c r="O40">
        <v>3.3</v>
      </c>
      <c r="P40" s="33">
        <v>0.17910000000000001</v>
      </c>
      <c r="Q40" s="33">
        <v>0.1699</v>
      </c>
      <c r="R40" s="34">
        <v>15483</v>
      </c>
      <c r="S40" s="34">
        <v>182554000</v>
      </c>
      <c r="T40">
        <v>0.09</v>
      </c>
      <c r="U40" s="33">
        <v>6.9500000000000006E-2</v>
      </c>
    </row>
    <row r="41" spans="1:21" x14ac:dyDescent="0.25">
      <c r="A41" t="s">
        <v>330</v>
      </c>
      <c r="B41">
        <v>81.86</v>
      </c>
      <c r="C41">
        <v>15.98</v>
      </c>
      <c r="D41">
        <v>3.28</v>
      </c>
      <c r="E41">
        <v>1.6679999999999999</v>
      </c>
      <c r="F41" s="33">
        <v>1.5100000000000001E-2</v>
      </c>
      <c r="G41">
        <v>2.2509999999999999</v>
      </c>
      <c r="H41">
        <v>9.5399999999999991</v>
      </c>
      <c r="I41">
        <v>21.62</v>
      </c>
      <c r="J41">
        <v>10.220000000000001</v>
      </c>
      <c r="K41">
        <v>19.350000000000001</v>
      </c>
      <c r="L41">
        <v>15.16</v>
      </c>
      <c r="M41" s="33">
        <v>7.7200000000000005E-2</v>
      </c>
      <c r="N41" s="33">
        <v>0.10440000000000001</v>
      </c>
      <c r="O41">
        <v>1.79</v>
      </c>
      <c r="P41" s="33">
        <v>0.17910000000000001</v>
      </c>
      <c r="Q41" s="33">
        <v>0.2051</v>
      </c>
      <c r="R41" s="34">
        <v>4843.1400000000003</v>
      </c>
      <c r="S41" s="34">
        <v>130425000</v>
      </c>
      <c r="T41">
        <v>0</v>
      </c>
      <c r="U41" s="33">
        <v>9.0999999999999998E-2</v>
      </c>
    </row>
    <row r="42" spans="1:21" x14ac:dyDescent="0.25">
      <c r="A42" t="s">
        <v>331</v>
      </c>
      <c r="B42">
        <v>68.61</v>
      </c>
      <c r="C42">
        <v>3.4</v>
      </c>
      <c r="D42">
        <v>0.59</v>
      </c>
      <c r="E42">
        <v>0</v>
      </c>
      <c r="F42" s="33">
        <v>0.1163</v>
      </c>
      <c r="G42">
        <v>0</v>
      </c>
      <c r="H42">
        <v>0</v>
      </c>
      <c r="I42">
        <v>0</v>
      </c>
      <c r="J42">
        <v>0</v>
      </c>
      <c r="K42">
        <v>0</v>
      </c>
      <c r="L42">
        <v>0</v>
      </c>
      <c r="M42" s="33">
        <v>0</v>
      </c>
      <c r="N42" s="33">
        <v>0</v>
      </c>
      <c r="O42">
        <v>0</v>
      </c>
      <c r="P42" s="33">
        <v>0</v>
      </c>
      <c r="Q42" s="33">
        <v>0.17330000000000001</v>
      </c>
      <c r="R42" s="34">
        <v>490902</v>
      </c>
      <c r="S42" s="34">
        <v>6531090000</v>
      </c>
      <c r="T42">
        <v>0</v>
      </c>
      <c r="U42" s="33">
        <v>0.1386</v>
      </c>
    </row>
    <row r="43" spans="1:21" x14ac:dyDescent="0.25">
      <c r="A43" t="s">
        <v>232</v>
      </c>
      <c r="B43">
        <v>21.59</v>
      </c>
      <c r="C43">
        <v>3.72</v>
      </c>
      <c r="D43">
        <v>0.71</v>
      </c>
      <c r="E43">
        <v>0</v>
      </c>
      <c r="F43" s="33">
        <v>0.11020000000000001</v>
      </c>
      <c r="G43">
        <v>0</v>
      </c>
      <c r="H43">
        <v>0</v>
      </c>
      <c r="I43">
        <v>0</v>
      </c>
      <c r="J43">
        <v>0</v>
      </c>
      <c r="K43">
        <v>0</v>
      </c>
      <c r="L43">
        <v>0</v>
      </c>
      <c r="M43" s="33">
        <v>0</v>
      </c>
      <c r="N43" s="33">
        <v>0</v>
      </c>
      <c r="O43">
        <v>0</v>
      </c>
      <c r="P43" s="33">
        <v>0</v>
      </c>
      <c r="Q43" s="33">
        <v>0.1905</v>
      </c>
      <c r="R43" s="34">
        <v>821391000</v>
      </c>
      <c r="S43" s="34">
        <v>174643000000</v>
      </c>
      <c r="T43">
        <v>0</v>
      </c>
      <c r="U43" s="33">
        <v>0.15529999999999999</v>
      </c>
    </row>
    <row r="44" spans="1:21" x14ac:dyDescent="0.25">
      <c r="A44" t="s">
        <v>95</v>
      </c>
      <c r="B44">
        <v>14.11</v>
      </c>
      <c r="C44">
        <v>7.23</v>
      </c>
      <c r="D44">
        <v>0.91</v>
      </c>
      <c r="E44">
        <v>0</v>
      </c>
      <c r="F44" s="33">
        <v>8.6800000000000002E-2</v>
      </c>
      <c r="G44">
        <v>0</v>
      </c>
      <c r="H44">
        <v>0</v>
      </c>
      <c r="I44">
        <v>0</v>
      </c>
      <c r="J44">
        <v>0</v>
      </c>
      <c r="K44">
        <v>0</v>
      </c>
      <c r="L44">
        <v>0</v>
      </c>
      <c r="M44" s="33">
        <v>0</v>
      </c>
      <c r="N44" s="33">
        <v>0</v>
      </c>
      <c r="O44">
        <v>0</v>
      </c>
      <c r="P44" s="33">
        <v>0</v>
      </c>
      <c r="Q44" s="33">
        <v>0.12590000000000001</v>
      </c>
      <c r="R44" s="34">
        <v>132227000</v>
      </c>
      <c r="S44" s="34">
        <v>164193000000</v>
      </c>
      <c r="T44">
        <v>0</v>
      </c>
      <c r="U44" s="33">
        <v>-4.48E-2</v>
      </c>
    </row>
    <row r="45" spans="1:21" x14ac:dyDescent="0.25">
      <c r="A45" t="s">
        <v>110</v>
      </c>
      <c r="B45">
        <v>16.29</v>
      </c>
      <c r="C45">
        <v>8.34</v>
      </c>
      <c r="D45">
        <v>1.05</v>
      </c>
      <c r="E45">
        <v>0</v>
      </c>
      <c r="F45" s="33">
        <v>8.2699999999999996E-2</v>
      </c>
      <c r="G45">
        <v>0</v>
      </c>
      <c r="H45">
        <v>0</v>
      </c>
      <c r="I45">
        <v>0</v>
      </c>
      <c r="J45">
        <v>0</v>
      </c>
      <c r="K45">
        <v>0</v>
      </c>
      <c r="L45">
        <v>0</v>
      </c>
      <c r="M45" s="33">
        <v>0</v>
      </c>
      <c r="N45" s="33">
        <v>0</v>
      </c>
      <c r="O45">
        <v>0</v>
      </c>
      <c r="P45" s="33">
        <v>0</v>
      </c>
      <c r="Q45" s="33">
        <v>0.12590000000000001</v>
      </c>
      <c r="R45" s="34">
        <v>584885000</v>
      </c>
      <c r="S45" s="34">
        <v>164193000000</v>
      </c>
      <c r="T45">
        <v>0</v>
      </c>
      <c r="U45" s="33">
        <v>-4.48E-2</v>
      </c>
    </row>
    <row r="46" spans="1:21" x14ac:dyDescent="0.25">
      <c r="A46" t="s">
        <v>42</v>
      </c>
      <c r="B46">
        <v>35.51</v>
      </c>
      <c r="C46">
        <v>8.2200000000000006</v>
      </c>
      <c r="D46">
        <v>6.09</v>
      </c>
      <c r="E46">
        <v>0</v>
      </c>
      <c r="F46" s="33">
        <v>0.1043</v>
      </c>
      <c r="G46">
        <v>3.8340000000000001</v>
      </c>
      <c r="H46">
        <v>0</v>
      </c>
      <c r="I46">
        <v>7.33</v>
      </c>
      <c r="J46">
        <v>0</v>
      </c>
      <c r="K46">
        <v>0</v>
      </c>
      <c r="L46">
        <v>0</v>
      </c>
      <c r="M46" s="33">
        <v>0</v>
      </c>
      <c r="N46" s="33">
        <v>0</v>
      </c>
      <c r="O46">
        <v>0</v>
      </c>
      <c r="P46" s="33">
        <v>0</v>
      </c>
      <c r="Q46" s="33">
        <v>0.74129999999999996</v>
      </c>
      <c r="R46" s="34">
        <v>199293000</v>
      </c>
      <c r="S46" s="34">
        <v>11662000000</v>
      </c>
      <c r="T46">
        <v>0</v>
      </c>
      <c r="U46" s="33">
        <v>0</v>
      </c>
    </row>
    <row r="47" spans="1:21" x14ac:dyDescent="0.25">
      <c r="A47" t="s">
        <v>332</v>
      </c>
      <c r="B47">
        <v>9</v>
      </c>
      <c r="C47">
        <v>-0.54</v>
      </c>
      <c r="D47">
        <v>-0.06</v>
      </c>
      <c r="E47">
        <v>0.34300000000000003</v>
      </c>
      <c r="F47" s="33">
        <v>0</v>
      </c>
      <c r="G47">
        <v>2.7E-2</v>
      </c>
      <c r="H47">
        <v>-0.05</v>
      </c>
      <c r="I47">
        <v>-1.1599999999999999</v>
      </c>
      <c r="J47">
        <v>-0.03</v>
      </c>
      <c r="K47">
        <v>-14.84</v>
      </c>
      <c r="L47">
        <v>-17.7</v>
      </c>
      <c r="M47" s="33">
        <v>-0.29549999999999998</v>
      </c>
      <c r="N47" s="33">
        <v>-0.63990000000000002</v>
      </c>
      <c r="O47">
        <v>0.46</v>
      </c>
      <c r="P47" s="33">
        <v>-2.5100000000000001E-2</v>
      </c>
      <c r="Q47" s="33">
        <v>0.11509999999999999</v>
      </c>
      <c r="R47" s="34">
        <v>2228.7600000000002</v>
      </c>
      <c r="S47" s="34">
        <v>-233585000</v>
      </c>
      <c r="T47">
        <v>-0.8</v>
      </c>
      <c r="U47" s="33">
        <v>0.21890000000000001</v>
      </c>
    </row>
    <row r="48" spans="1:21" x14ac:dyDescent="0.25">
      <c r="A48" t="s">
        <v>333</v>
      </c>
      <c r="B48">
        <v>7.7</v>
      </c>
      <c r="C48">
        <v>-0.46</v>
      </c>
      <c r="D48">
        <v>-0.05</v>
      </c>
      <c r="E48">
        <v>0.29299999999999998</v>
      </c>
      <c r="F48" s="33">
        <v>0</v>
      </c>
      <c r="G48">
        <v>2.3E-2</v>
      </c>
      <c r="H48">
        <v>-0.05</v>
      </c>
      <c r="I48">
        <v>-0.99</v>
      </c>
      <c r="J48">
        <v>-0.02</v>
      </c>
      <c r="K48">
        <v>-14.67</v>
      </c>
      <c r="L48">
        <v>-17.5</v>
      </c>
      <c r="M48" s="33">
        <v>-0.29549999999999998</v>
      </c>
      <c r="N48" s="33">
        <v>-0.63990000000000002</v>
      </c>
      <c r="O48">
        <v>0.46</v>
      </c>
      <c r="P48" s="33">
        <v>-2.5100000000000001E-2</v>
      </c>
      <c r="Q48" s="33">
        <v>0.11509999999999999</v>
      </c>
      <c r="R48" s="34">
        <v>2857.86</v>
      </c>
      <c r="S48" s="34">
        <v>-233585000</v>
      </c>
      <c r="T48">
        <v>-0.8</v>
      </c>
      <c r="U48" s="33">
        <v>0.21890000000000001</v>
      </c>
    </row>
    <row r="49" spans="1:21" x14ac:dyDescent="0.25">
      <c r="A49" t="s">
        <v>179</v>
      </c>
      <c r="B49">
        <v>4.8600000000000003</v>
      </c>
      <c r="C49">
        <v>-2.46</v>
      </c>
      <c r="D49">
        <v>-4.54</v>
      </c>
      <c r="E49">
        <v>7.8E-2</v>
      </c>
      <c r="F49" s="33">
        <v>0</v>
      </c>
      <c r="G49">
        <v>7.2999999999999995E-2</v>
      </c>
      <c r="H49">
        <v>0.4</v>
      </c>
      <c r="I49">
        <v>1.1299999999999999</v>
      </c>
      <c r="J49">
        <v>-0.17</v>
      </c>
      <c r="K49">
        <v>7.12</v>
      </c>
      <c r="L49">
        <v>5.51</v>
      </c>
      <c r="M49" s="33">
        <v>6.8400000000000002E-2</v>
      </c>
      <c r="N49" s="33">
        <v>-3.1300000000000001E-2</v>
      </c>
      <c r="O49">
        <v>1.48</v>
      </c>
      <c r="P49" s="33">
        <v>0.12130000000000001</v>
      </c>
      <c r="Q49" s="33">
        <v>1.8464</v>
      </c>
      <c r="R49" s="34">
        <v>112868000</v>
      </c>
      <c r="S49" s="34">
        <v>-650682000</v>
      </c>
      <c r="T49">
        <v>-42.2</v>
      </c>
      <c r="U49" s="33">
        <v>0.1232</v>
      </c>
    </row>
    <row r="50" spans="1:21" x14ac:dyDescent="0.25">
      <c r="A50" t="s">
        <v>6</v>
      </c>
      <c r="B50">
        <v>8.58</v>
      </c>
      <c r="C50">
        <v>7.16</v>
      </c>
      <c r="D50">
        <v>1.19</v>
      </c>
      <c r="E50">
        <v>0</v>
      </c>
      <c r="F50" s="33">
        <v>5.6599999999999998E-2</v>
      </c>
      <c r="G50">
        <v>0</v>
      </c>
      <c r="H50">
        <v>0</v>
      </c>
      <c r="I50">
        <v>0</v>
      </c>
      <c r="J50">
        <v>0</v>
      </c>
      <c r="K50">
        <v>0</v>
      </c>
      <c r="L50">
        <v>0</v>
      </c>
      <c r="M50" s="33">
        <v>0</v>
      </c>
      <c r="N50" s="33">
        <v>0</v>
      </c>
      <c r="O50">
        <v>0</v>
      </c>
      <c r="P50" s="33">
        <v>0</v>
      </c>
      <c r="Q50" s="33">
        <v>0.16669999999999999</v>
      </c>
      <c r="R50" s="34">
        <v>106462</v>
      </c>
      <c r="S50" s="34">
        <v>2271950000</v>
      </c>
      <c r="T50">
        <v>0</v>
      </c>
      <c r="U50" s="33">
        <v>0.13350000000000001</v>
      </c>
    </row>
    <row r="51" spans="1:21" x14ac:dyDescent="0.25">
      <c r="A51" t="s">
        <v>23</v>
      </c>
      <c r="B51">
        <v>8.65</v>
      </c>
      <c r="C51">
        <v>7.22</v>
      </c>
      <c r="D51">
        <v>1.2</v>
      </c>
      <c r="E51">
        <v>0</v>
      </c>
      <c r="F51" s="33">
        <v>5.62E-2</v>
      </c>
      <c r="G51">
        <v>0</v>
      </c>
      <c r="H51">
        <v>0</v>
      </c>
      <c r="I51">
        <v>0</v>
      </c>
      <c r="J51">
        <v>0</v>
      </c>
      <c r="K51">
        <v>0</v>
      </c>
      <c r="L51">
        <v>0</v>
      </c>
      <c r="M51" s="33">
        <v>0</v>
      </c>
      <c r="N51" s="33">
        <v>0</v>
      </c>
      <c r="O51">
        <v>0</v>
      </c>
      <c r="P51" s="33">
        <v>0</v>
      </c>
      <c r="Q51" s="33">
        <v>0.16669999999999999</v>
      </c>
      <c r="R51" s="34">
        <v>32748.9</v>
      </c>
      <c r="S51" s="34">
        <v>2271950000</v>
      </c>
      <c r="T51">
        <v>0</v>
      </c>
      <c r="U51" s="33">
        <v>0.13350000000000001</v>
      </c>
    </row>
    <row r="52" spans="1:21" x14ac:dyDescent="0.25">
      <c r="A52" t="s">
        <v>334</v>
      </c>
      <c r="B52">
        <v>35</v>
      </c>
      <c r="C52">
        <v>5.14</v>
      </c>
      <c r="D52">
        <v>0.93</v>
      </c>
      <c r="E52">
        <v>0</v>
      </c>
      <c r="F52" s="33">
        <v>0.1046</v>
      </c>
      <c r="G52">
        <v>0</v>
      </c>
      <c r="H52">
        <v>0</v>
      </c>
      <c r="I52">
        <v>0</v>
      </c>
      <c r="J52">
        <v>0</v>
      </c>
      <c r="K52">
        <v>0</v>
      </c>
      <c r="L52">
        <v>0</v>
      </c>
      <c r="M52" s="33">
        <v>0</v>
      </c>
      <c r="N52" s="33">
        <v>0</v>
      </c>
      <c r="O52">
        <v>0</v>
      </c>
      <c r="P52" s="33">
        <v>0</v>
      </c>
      <c r="Q52" s="33">
        <v>0.18110000000000001</v>
      </c>
      <c r="R52" s="34">
        <v>758</v>
      </c>
      <c r="S52" s="34">
        <v>810042000</v>
      </c>
      <c r="T52">
        <v>0</v>
      </c>
      <c r="U52" s="33">
        <v>2.1499999999999998E-2</v>
      </c>
    </row>
    <row r="53" spans="1:21" x14ac:dyDescent="0.25">
      <c r="A53" t="s">
        <v>335</v>
      </c>
      <c r="B53">
        <v>27.14</v>
      </c>
      <c r="C53">
        <v>3.99</v>
      </c>
      <c r="D53">
        <v>0.72</v>
      </c>
      <c r="E53">
        <v>0</v>
      </c>
      <c r="F53" s="33">
        <v>0.1484</v>
      </c>
      <c r="G53">
        <v>0</v>
      </c>
      <c r="H53">
        <v>0</v>
      </c>
      <c r="I53">
        <v>0</v>
      </c>
      <c r="J53">
        <v>0</v>
      </c>
      <c r="K53">
        <v>0</v>
      </c>
      <c r="L53">
        <v>0</v>
      </c>
      <c r="M53" s="33">
        <v>0</v>
      </c>
      <c r="N53" s="33">
        <v>0</v>
      </c>
      <c r="O53">
        <v>0</v>
      </c>
      <c r="P53" s="33">
        <v>0</v>
      </c>
      <c r="Q53" s="33">
        <v>0.18110000000000001</v>
      </c>
      <c r="R53" s="34">
        <v>59386.7</v>
      </c>
      <c r="S53" s="34">
        <v>810042000</v>
      </c>
      <c r="T53">
        <v>0</v>
      </c>
      <c r="U53" s="33">
        <v>2.1499999999999998E-2</v>
      </c>
    </row>
    <row r="54" spans="1:21" x14ac:dyDescent="0.25">
      <c r="A54" t="s">
        <v>336</v>
      </c>
      <c r="B54">
        <v>3.81</v>
      </c>
      <c r="C54">
        <v>-0.3</v>
      </c>
      <c r="D54">
        <v>0.17</v>
      </c>
      <c r="E54">
        <v>1.2999999999999999E-2</v>
      </c>
      <c r="F54" s="33">
        <v>0</v>
      </c>
      <c r="G54">
        <v>1.0999999999999999E-2</v>
      </c>
      <c r="H54">
        <v>-7.0000000000000007E-2</v>
      </c>
      <c r="I54">
        <v>0.19</v>
      </c>
      <c r="J54">
        <v>-0.02</v>
      </c>
      <c r="K54">
        <v>4.78</v>
      </c>
      <c r="L54">
        <v>3.04</v>
      </c>
      <c r="M54" s="33">
        <v>6.6900000000000001E-2</v>
      </c>
      <c r="N54" s="33">
        <v>-4.2799999999999998E-2</v>
      </c>
      <c r="O54">
        <v>0.74</v>
      </c>
      <c r="P54" s="33">
        <v>7.8200000000000006E-2</v>
      </c>
      <c r="Q54" s="33">
        <v>-0.5706</v>
      </c>
      <c r="R54" s="34">
        <v>21018100</v>
      </c>
      <c r="S54" s="34">
        <v>2089000000</v>
      </c>
      <c r="T54">
        <v>4.66</v>
      </c>
      <c r="U54" s="33">
        <v>-2.52E-2</v>
      </c>
    </row>
    <row r="55" spans="1:21" x14ac:dyDescent="0.25">
      <c r="A55" t="s">
        <v>337</v>
      </c>
      <c r="B55">
        <v>4.9000000000000004</v>
      </c>
      <c r="C55">
        <v>-1.78</v>
      </c>
      <c r="D55">
        <v>1.72</v>
      </c>
      <c r="E55">
        <v>0.36099999999999999</v>
      </c>
      <c r="F55" s="33">
        <v>0</v>
      </c>
      <c r="G55">
        <v>0.25800000000000001</v>
      </c>
      <c r="H55" s="34">
        <v>-1.21</v>
      </c>
      <c r="I55">
        <v>70.47</v>
      </c>
      <c r="J55">
        <v>-0.38</v>
      </c>
      <c r="K55">
        <v>91.21</v>
      </c>
      <c r="L55">
        <v>9.19</v>
      </c>
      <c r="M55" s="33">
        <v>5.1000000000000004E-3</v>
      </c>
      <c r="N55" s="33">
        <v>-0.2056</v>
      </c>
      <c r="O55">
        <v>0.32</v>
      </c>
      <c r="P55" s="33">
        <v>3.8999999999999998E-3</v>
      </c>
      <c r="Q55" s="33">
        <v>-0.9677</v>
      </c>
      <c r="R55" s="34">
        <v>19682.7</v>
      </c>
      <c r="S55" s="34">
        <v>75212000</v>
      </c>
      <c r="T55">
        <v>0.72</v>
      </c>
      <c r="U55" s="33">
        <v>0.13039999999999999</v>
      </c>
    </row>
    <row r="56" spans="1:21" x14ac:dyDescent="0.25">
      <c r="A56" t="s">
        <v>338</v>
      </c>
      <c r="B56">
        <v>7</v>
      </c>
      <c r="C56" s="34">
        <v>-12.36</v>
      </c>
      <c r="D56">
        <v>3.54</v>
      </c>
      <c r="E56">
        <v>6.1689999999999996</v>
      </c>
      <c r="F56" s="33">
        <v>0</v>
      </c>
      <c r="G56">
        <v>1.9810000000000001</v>
      </c>
      <c r="H56">
        <v>6.42</v>
      </c>
      <c r="I56">
        <v>-13.57</v>
      </c>
      <c r="J56">
        <v>34.619999999999997</v>
      </c>
      <c r="K56">
        <v>-13.61</v>
      </c>
      <c r="L56">
        <v>-13.48</v>
      </c>
      <c r="M56" s="33">
        <v>-0.4546</v>
      </c>
      <c r="N56" s="33">
        <v>-0.499</v>
      </c>
      <c r="O56">
        <v>2.64</v>
      </c>
      <c r="P56" s="33">
        <v>-0.218</v>
      </c>
      <c r="Q56" s="33">
        <v>-0.28610000000000002</v>
      </c>
      <c r="R56" s="34">
        <v>457869</v>
      </c>
      <c r="S56" s="34">
        <v>250993000</v>
      </c>
      <c r="T56">
        <v>0.46</v>
      </c>
      <c r="U56" s="33">
        <v>0.1827</v>
      </c>
    </row>
    <row r="57" spans="1:21" x14ac:dyDescent="0.25">
      <c r="A57" t="s">
        <v>187</v>
      </c>
      <c r="B57">
        <v>13.7</v>
      </c>
      <c r="C57">
        <v>9.17</v>
      </c>
      <c r="D57">
        <v>1.1200000000000001</v>
      </c>
      <c r="E57">
        <v>1.39</v>
      </c>
      <c r="F57" s="33">
        <v>3.49E-2</v>
      </c>
      <c r="G57">
        <v>0.71599999999999997</v>
      </c>
      <c r="H57">
        <v>2.16</v>
      </c>
      <c r="I57">
        <v>6.59</v>
      </c>
      <c r="J57">
        <v>6.09</v>
      </c>
      <c r="K57">
        <v>6.77</v>
      </c>
      <c r="L57">
        <v>5.91</v>
      </c>
      <c r="M57" s="33">
        <v>0.2109</v>
      </c>
      <c r="N57" s="33">
        <v>0.1497</v>
      </c>
      <c r="O57">
        <v>3.23</v>
      </c>
      <c r="P57" s="33">
        <v>0.13789999999999999</v>
      </c>
      <c r="Q57" s="33">
        <v>0.12180000000000001</v>
      </c>
      <c r="R57" s="34">
        <v>4693860</v>
      </c>
      <c r="S57" s="34">
        <v>2201560000</v>
      </c>
      <c r="T57">
        <v>0.23</v>
      </c>
      <c r="U57" s="33">
        <v>7.4300000000000005E-2</v>
      </c>
    </row>
    <row r="58" spans="1:21" x14ac:dyDescent="0.25">
      <c r="A58" t="s">
        <v>339</v>
      </c>
      <c r="B58">
        <v>5.14</v>
      </c>
      <c r="C58">
        <v>-5.63</v>
      </c>
      <c r="D58">
        <v>0.46</v>
      </c>
      <c r="E58">
        <v>0</v>
      </c>
      <c r="F58" s="33">
        <v>0</v>
      </c>
      <c r="G58">
        <v>0.13800000000000001</v>
      </c>
      <c r="H58">
        <v>-0.76</v>
      </c>
      <c r="I58">
        <v>-42.93</v>
      </c>
      <c r="J58">
        <v>-0.2</v>
      </c>
      <c r="K58">
        <v>-53.97</v>
      </c>
      <c r="L58">
        <v>-53.97</v>
      </c>
      <c r="M58" s="33">
        <v>0</v>
      </c>
      <c r="N58" s="33">
        <v>0</v>
      </c>
      <c r="O58">
        <v>0</v>
      </c>
      <c r="P58" s="33">
        <v>-3.3E-3</v>
      </c>
      <c r="Q58" s="33">
        <v>-8.2400000000000001E-2</v>
      </c>
      <c r="R58" s="34">
        <v>3091.81</v>
      </c>
      <c r="S58" s="34">
        <v>56569000</v>
      </c>
      <c r="T58">
        <v>0.12</v>
      </c>
      <c r="U58" s="33">
        <v>0</v>
      </c>
    </row>
    <row r="59" spans="1:21" x14ac:dyDescent="0.25">
      <c r="A59" t="s">
        <v>340</v>
      </c>
      <c r="B59">
        <v>1.52</v>
      </c>
      <c r="C59">
        <v>-1.66</v>
      </c>
      <c r="D59">
        <v>0.14000000000000001</v>
      </c>
      <c r="E59">
        <v>0</v>
      </c>
      <c r="F59" s="33">
        <v>0</v>
      </c>
      <c r="G59">
        <v>4.1000000000000002E-2</v>
      </c>
      <c r="H59">
        <v>-0.22</v>
      </c>
      <c r="I59">
        <v>-12.69</v>
      </c>
      <c r="J59">
        <v>-0.06</v>
      </c>
      <c r="K59">
        <v>-23.74</v>
      </c>
      <c r="L59">
        <v>-23.74</v>
      </c>
      <c r="M59" s="33">
        <v>0</v>
      </c>
      <c r="N59" s="33">
        <v>0</v>
      </c>
      <c r="O59">
        <v>0</v>
      </c>
      <c r="P59" s="33">
        <v>-3.3E-3</v>
      </c>
      <c r="Q59" s="33">
        <v>-8.2400000000000001E-2</v>
      </c>
      <c r="R59" s="34">
        <v>10453.200000000001</v>
      </c>
      <c r="S59" s="34">
        <v>56569000</v>
      </c>
      <c r="T59">
        <v>0.12</v>
      </c>
      <c r="U59" s="33">
        <v>0</v>
      </c>
    </row>
    <row r="60" spans="1:21" x14ac:dyDescent="0.25">
      <c r="A60" t="s">
        <v>341</v>
      </c>
      <c r="B60">
        <v>34</v>
      </c>
      <c r="C60">
        <v>4.3099999999999996</v>
      </c>
      <c r="D60">
        <v>1.88</v>
      </c>
      <c r="E60">
        <v>0</v>
      </c>
      <c r="F60" s="33">
        <v>5.9499999999999997E-2</v>
      </c>
      <c r="G60">
        <v>0</v>
      </c>
      <c r="H60">
        <v>0</v>
      </c>
      <c r="I60">
        <v>0</v>
      </c>
      <c r="J60">
        <v>0</v>
      </c>
      <c r="K60">
        <v>0</v>
      </c>
      <c r="L60">
        <v>0</v>
      </c>
      <c r="M60" s="33">
        <v>0</v>
      </c>
      <c r="N60" s="33">
        <v>0</v>
      </c>
      <c r="O60">
        <v>0</v>
      </c>
      <c r="P60" s="33">
        <v>0</v>
      </c>
      <c r="Q60" s="33">
        <v>0.43669999999999998</v>
      </c>
      <c r="R60" s="34">
        <v>22436.7</v>
      </c>
      <c r="S60" s="34">
        <v>1894930000</v>
      </c>
      <c r="T60">
        <v>0</v>
      </c>
      <c r="U60" s="33">
        <v>0.2278</v>
      </c>
    </row>
    <row r="61" spans="1:21" x14ac:dyDescent="0.25">
      <c r="A61" t="s">
        <v>92</v>
      </c>
      <c r="B61">
        <v>40.6</v>
      </c>
      <c r="C61">
        <v>5.14</v>
      </c>
      <c r="D61">
        <v>2.25</v>
      </c>
      <c r="E61">
        <v>0</v>
      </c>
      <c r="F61" s="33">
        <v>5.4800000000000001E-2</v>
      </c>
      <c r="G61">
        <v>0</v>
      </c>
      <c r="H61">
        <v>0</v>
      </c>
      <c r="I61">
        <v>0</v>
      </c>
      <c r="J61">
        <v>0</v>
      </c>
      <c r="K61">
        <v>0</v>
      </c>
      <c r="L61">
        <v>0</v>
      </c>
      <c r="M61" s="33">
        <v>0</v>
      </c>
      <c r="N61" s="33">
        <v>0</v>
      </c>
      <c r="O61">
        <v>0</v>
      </c>
      <c r="P61" s="33">
        <v>0</v>
      </c>
      <c r="Q61" s="33">
        <v>0.43669999999999998</v>
      </c>
      <c r="R61" s="34">
        <v>517090</v>
      </c>
      <c r="S61" s="34">
        <v>1894930000</v>
      </c>
      <c r="T61">
        <v>0</v>
      </c>
      <c r="U61" s="33">
        <v>0.2278</v>
      </c>
    </row>
    <row r="62" spans="1:21" x14ac:dyDescent="0.25">
      <c r="A62" t="s">
        <v>46</v>
      </c>
      <c r="B62">
        <v>3.67</v>
      </c>
      <c r="C62">
        <v>4.8600000000000003</v>
      </c>
      <c r="D62">
        <v>0.59</v>
      </c>
      <c r="E62">
        <v>0</v>
      </c>
      <c r="F62" s="33">
        <v>0.1052</v>
      </c>
      <c r="G62">
        <v>0</v>
      </c>
      <c r="H62">
        <v>0</v>
      </c>
      <c r="I62">
        <v>0</v>
      </c>
      <c r="J62">
        <v>0</v>
      </c>
      <c r="K62">
        <v>0</v>
      </c>
      <c r="L62">
        <v>0</v>
      </c>
      <c r="M62" s="33">
        <v>0</v>
      </c>
      <c r="N62" s="33">
        <v>0</v>
      </c>
      <c r="O62">
        <v>0</v>
      </c>
      <c r="P62" s="33">
        <v>0</v>
      </c>
      <c r="Q62" s="33">
        <v>0.1207</v>
      </c>
      <c r="R62" s="34">
        <v>1519600</v>
      </c>
      <c r="S62" s="34">
        <v>3648070000</v>
      </c>
      <c r="T62">
        <v>0</v>
      </c>
      <c r="U62" s="33">
        <v>-4.4499999999999998E-2</v>
      </c>
    </row>
    <row r="63" spans="1:21" x14ac:dyDescent="0.25">
      <c r="A63" t="s">
        <v>342</v>
      </c>
      <c r="B63">
        <v>20</v>
      </c>
      <c r="C63">
        <v>11.63</v>
      </c>
      <c r="D63">
        <v>0.69</v>
      </c>
      <c r="E63">
        <v>0</v>
      </c>
      <c r="F63" s="33">
        <v>1.77E-2</v>
      </c>
      <c r="G63">
        <v>0</v>
      </c>
      <c r="H63">
        <v>0</v>
      </c>
      <c r="I63">
        <v>0</v>
      </c>
      <c r="J63">
        <v>0</v>
      </c>
      <c r="K63">
        <v>0</v>
      </c>
      <c r="L63">
        <v>0</v>
      </c>
      <c r="M63" s="33">
        <v>0</v>
      </c>
      <c r="N63" s="33">
        <v>0</v>
      </c>
      <c r="O63">
        <v>0</v>
      </c>
      <c r="P63" s="33">
        <v>0</v>
      </c>
      <c r="Q63" s="33">
        <v>5.9400000000000001E-2</v>
      </c>
      <c r="R63" s="34">
        <v>271.05</v>
      </c>
      <c r="S63" s="34">
        <v>139754000</v>
      </c>
      <c r="T63">
        <v>0</v>
      </c>
      <c r="U63" s="33">
        <v>0.17380000000000001</v>
      </c>
    </row>
    <row r="64" spans="1:21" x14ac:dyDescent="0.25">
      <c r="A64" t="s">
        <v>343</v>
      </c>
      <c r="B64">
        <v>16.63</v>
      </c>
      <c r="C64">
        <v>9.67</v>
      </c>
      <c r="D64">
        <v>0.56999999999999995</v>
      </c>
      <c r="E64">
        <v>0</v>
      </c>
      <c r="F64" s="33">
        <v>8.4199999999999997E-2</v>
      </c>
      <c r="G64">
        <v>0</v>
      </c>
      <c r="H64">
        <v>0</v>
      </c>
      <c r="I64">
        <v>0</v>
      </c>
      <c r="J64">
        <v>0</v>
      </c>
      <c r="K64">
        <v>0</v>
      </c>
      <c r="L64">
        <v>0</v>
      </c>
      <c r="M64" s="33">
        <v>0</v>
      </c>
      <c r="N64" s="33">
        <v>0</v>
      </c>
      <c r="O64">
        <v>0</v>
      </c>
      <c r="P64" s="33">
        <v>0</v>
      </c>
      <c r="Q64" s="33">
        <v>5.9400000000000001E-2</v>
      </c>
      <c r="R64" s="34">
        <v>1628.26</v>
      </c>
      <c r="S64" s="34">
        <v>139754000</v>
      </c>
      <c r="T64">
        <v>0</v>
      </c>
      <c r="U64" s="33">
        <v>0.17380000000000001</v>
      </c>
    </row>
    <row r="65" spans="1:21" x14ac:dyDescent="0.25">
      <c r="A65" t="s">
        <v>344</v>
      </c>
      <c r="B65">
        <v>425</v>
      </c>
      <c r="C65">
        <v>12.83</v>
      </c>
      <c r="D65">
        <v>0.94</v>
      </c>
      <c r="E65">
        <v>12.345000000000001</v>
      </c>
      <c r="F65" s="33">
        <v>7.8E-2</v>
      </c>
      <c r="G65">
        <v>0.81399999999999995</v>
      </c>
      <c r="H65">
        <v>1.1200000000000001</v>
      </c>
      <c r="I65">
        <v>-38.24</v>
      </c>
      <c r="J65">
        <v>1.28</v>
      </c>
      <c r="K65">
        <v>-5.83</v>
      </c>
      <c r="L65">
        <v>-5.98</v>
      </c>
      <c r="M65" s="33">
        <v>-0.32279999999999998</v>
      </c>
      <c r="N65" s="33">
        <v>0.96220000000000006</v>
      </c>
      <c r="O65">
        <v>20.54</v>
      </c>
      <c r="P65" s="33">
        <v>-7.3800000000000004E-2</v>
      </c>
      <c r="Q65" s="33">
        <v>7.2900000000000006E-2</v>
      </c>
      <c r="R65" s="34">
        <v>32027.3</v>
      </c>
      <c r="S65" s="34">
        <v>206593000</v>
      </c>
      <c r="T65">
        <v>0.02</v>
      </c>
      <c r="U65" s="33">
        <v>-8.5099999999999995E-2</v>
      </c>
    </row>
    <row r="66" spans="1:21" x14ac:dyDescent="0.25">
      <c r="A66" t="s">
        <v>25</v>
      </c>
      <c r="B66">
        <v>19.100000000000001</v>
      </c>
      <c r="C66">
        <v>12.7</v>
      </c>
      <c r="D66">
        <v>1.41</v>
      </c>
      <c r="E66">
        <v>1.0660000000000001</v>
      </c>
      <c r="F66" s="33">
        <v>7.0099999999999996E-2</v>
      </c>
      <c r="G66">
        <v>1.0049999999999999</v>
      </c>
      <c r="H66">
        <v>2.4300000000000002</v>
      </c>
      <c r="I66">
        <v>13.25</v>
      </c>
      <c r="J66">
        <v>2.64</v>
      </c>
      <c r="K66">
        <v>9.0299999999999994</v>
      </c>
      <c r="L66">
        <v>5.83</v>
      </c>
      <c r="M66" s="33">
        <v>8.0500000000000002E-2</v>
      </c>
      <c r="N66" s="33">
        <v>8.4500000000000006E-2</v>
      </c>
      <c r="O66">
        <v>2.65</v>
      </c>
      <c r="P66" s="33">
        <v>0.12670000000000001</v>
      </c>
      <c r="Q66" s="33">
        <v>0.11070000000000001</v>
      </c>
      <c r="R66" s="34">
        <v>5643980</v>
      </c>
      <c r="S66" s="34">
        <v>1163230000</v>
      </c>
      <c r="T66">
        <v>0</v>
      </c>
      <c r="U66" s="33">
        <v>0.58779999999999999</v>
      </c>
    </row>
    <row r="67" spans="1:21" x14ac:dyDescent="0.25">
      <c r="A67" t="s">
        <v>345</v>
      </c>
      <c r="B67">
        <v>95.26</v>
      </c>
      <c r="C67">
        <v>4.3099999999999996</v>
      </c>
      <c r="D67">
        <v>0.67</v>
      </c>
      <c r="E67">
        <v>0</v>
      </c>
      <c r="F67" s="33">
        <v>0.06</v>
      </c>
      <c r="G67">
        <v>0</v>
      </c>
      <c r="H67">
        <v>0</v>
      </c>
      <c r="I67">
        <v>0</v>
      </c>
      <c r="J67">
        <v>0</v>
      </c>
      <c r="K67">
        <v>0</v>
      </c>
      <c r="L67">
        <v>0</v>
      </c>
      <c r="M67" s="33">
        <v>0</v>
      </c>
      <c r="N67" s="33">
        <v>0</v>
      </c>
      <c r="O67">
        <v>0</v>
      </c>
      <c r="P67" s="33">
        <v>0</v>
      </c>
      <c r="Q67" s="33">
        <v>0.1547</v>
      </c>
      <c r="R67" s="34">
        <v>15446.7</v>
      </c>
      <c r="S67" s="34">
        <v>14115100000</v>
      </c>
      <c r="T67">
        <v>0</v>
      </c>
      <c r="U67" s="33">
        <v>0.1033</v>
      </c>
    </row>
    <row r="68" spans="1:21" x14ac:dyDescent="0.25">
      <c r="A68" t="s">
        <v>185</v>
      </c>
      <c r="B68">
        <v>1.59</v>
      </c>
      <c r="C68">
        <v>5.68</v>
      </c>
      <c r="D68">
        <v>438.78</v>
      </c>
      <c r="E68">
        <v>0.26900000000000002</v>
      </c>
      <c r="F68" s="33">
        <v>0</v>
      </c>
      <c r="G68">
        <v>0.44900000000000001</v>
      </c>
      <c r="H68">
        <v>-24.53</v>
      </c>
      <c r="I68">
        <v>2.0299999999999998</v>
      </c>
      <c r="J68">
        <v>-0.98</v>
      </c>
      <c r="K68">
        <v>3.31</v>
      </c>
      <c r="L68">
        <v>2.93</v>
      </c>
      <c r="M68" s="33">
        <v>0.13239999999999999</v>
      </c>
      <c r="N68" s="33">
        <v>4.7300000000000002E-2</v>
      </c>
      <c r="O68">
        <v>0.97</v>
      </c>
      <c r="P68" s="33">
        <v>0.33329999999999999</v>
      </c>
      <c r="Q68" s="33">
        <v>77.215000000000003</v>
      </c>
      <c r="R68" s="34">
        <v>45099</v>
      </c>
      <c r="S68" s="34">
        <v>944000</v>
      </c>
      <c r="T68">
        <v>400.27</v>
      </c>
      <c r="U68" s="33">
        <v>0.1055</v>
      </c>
    </row>
    <row r="69" spans="1:21" x14ac:dyDescent="0.25">
      <c r="A69" t="s">
        <v>346</v>
      </c>
      <c r="B69">
        <v>40.51</v>
      </c>
      <c r="C69">
        <v>12.71</v>
      </c>
      <c r="D69">
        <v>2.6</v>
      </c>
      <c r="E69">
        <v>0</v>
      </c>
      <c r="F69" s="33">
        <v>2.12E-2</v>
      </c>
      <c r="G69">
        <v>0</v>
      </c>
      <c r="H69">
        <v>0</v>
      </c>
      <c r="I69">
        <v>0</v>
      </c>
      <c r="J69">
        <v>0</v>
      </c>
      <c r="K69">
        <v>0</v>
      </c>
      <c r="L69">
        <v>0</v>
      </c>
      <c r="M69" s="33">
        <v>0</v>
      </c>
      <c r="N69" s="33">
        <v>0</v>
      </c>
      <c r="O69">
        <v>0</v>
      </c>
      <c r="P69" s="33">
        <v>0</v>
      </c>
      <c r="Q69" s="33">
        <v>0.20449999999999999</v>
      </c>
      <c r="R69" s="34">
        <v>290123000</v>
      </c>
      <c r="S69" s="34">
        <v>59778600000</v>
      </c>
      <c r="T69">
        <v>0</v>
      </c>
      <c r="U69" s="33">
        <v>0.31590000000000001</v>
      </c>
    </row>
    <row r="70" spans="1:21" x14ac:dyDescent="0.25">
      <c r="A70" t="s">
        <v>141</v>
      </c>
      <c r="B70">
        <v>22.84</v>
      </c>
      <c r="C70">
        <v>21.5</v>
      </c>
      <c r="D70">
        <v>4.4000000000000004</v>
      </c>
      <c r="E70">
        <v>0</v>
      </c>
      <c r="F70" s="33">
        <v>1.2500000000000001E-2</v>
      </c>
      <c r="G70">
        <v>0</v>
      </c>
      <c r="H70">
        <v>0</v>
      </c>
      <c r="I70">
        <v>0</v>
      </c>
      <c r="J70">
        <v>0</v>
      </c>
      <c r="K70">
        <v>0</v>
      </c>
      <c r="L70">
        <v>0</v>
      </c>
      <c r="M70" s="33">
        <v>0</v>
      </c>
      <c r="N70" s="33">
        <v>0</v>
      </c>
      <c r="O70">
        <v>0</v>
      </c>
      <c r="P70" s="33">
        <v>0</v>
      </c>
      <c r="Q70" s="33">
        <v>0.20449999999999999</v>
      </c>
      <c r="R70" s="34">
        <v>84262.1</v>
      </c>
      <c r="S70" s="34">
        <v>59778600000</v>
      </c>
      <c r="T70">
        <v>0</v>
      </c>
      <c r="U70" s="33">
        <v>0.31590000000000001</v>
      </c>
    </row>
    <row r="71" spans="1:21" x14ac:dyDescent="0.25">
      <c r="A71" t="s">
        <v>148</v>
      </c>
      <c r="B71">
        <v>8.8000000000000007</v>
      </c>
      <c r="C71">
        <v>8.2799999999999994</v>
      </c>
      <c r="D71">
        <v>1.69</v>
      </c>
      <c r="E71">
        <v>0</v>
      </c>
      <c r="F71" s="33">
        <v>3.2500000000000001E-2</v>
      </c>
      <c r="G71">
        <v>0</v>
      </c>
      <c r="H71">
        <v>0</v>
      </c>
      <c r="I71">
        <v>0</v>
      </c>
      <c r="J71">
        <v>0</v>
      </c>
      <c r="K71">
        <v>0</v>
      </c>
      <c r="L71">
        <v>0</v>
      </c>
      <c r="M71" s="33">
        <v>0</v>
      </c>
      <c r="N71" s="33">
        <v>0</v>
      </c>
      <c r="O71">
        <v>0</v>
      </c>
      <c r="P71" s="33">
        <v>0</v>
      </c>
      <c r="Q71" s="33">
        <v>0.20449999999999999</v>
      </c>
      <c r="R71" s="34">
        <v>44940</v>
      </c>
      <c r="S71" s="34">
        <v>59778600000</v>
      </c>
      <c r="T71">
        <v>0</v>
      </c>
      <c r="U71" s="33">
        <v>0.31590000000000001</v>
      </c>
    </row>
    <row r="72" spans="1:21" x14ac:dyDescent="0.25">
      <c r="A72" t="s">
        <v>76</v>
      </c>
      <c r="B72">
        <v>8.15</v>
      </c>
      <c r="C72">
        <v>13.2</v>
      </c>
      <c r="D72">
        <v>1.37</v>
      </c>
      <c r="E72">
        <v>0</v>
      </c>
      <c r="F72" s="33">
        <v>2.9600000000000001E-2</v>
      </c>
      <c r="G72">
        <v>0</v>
      </c>
      <c r="H72">
        <v>0</v>
      </c>
      <c r="I72">
        <v>0</v>
      </c>
      <c r="J72">
        <v>0</v>
      </c>
      <c r="K72">
        <v>0</v>
      </c>
      <c r="L72">
        <v>0</v>
      </c>
      <c r="M72" s="33">
        <v>0</v>
      </c>
      <c r="N72" s="33">
        <v>0</v>
      </c>
      <c r="O72">
        <v>0</v>
      </c>
      <c r="P72" s="33">
        <v>0</v>
      </c>
      <c r="Q72" s="33">
        <v>0.10340000000000001</v>
      </c>
      <c r="R72" s="34">
        <v>13421400</v>
      </c>
      <c r="S72" s="34">
        <v>7575030000</v>
      </c>
      <c r="T72">
        <v>0</v>
      </c>
      <c r="U72" s="33">
        <v>3.8699999999999998E-2</v>
      </c>
    </row>
    <row r="73" spans="1:21" x14ac:dyDescent="0.25">
      <c r="A73" t="s">
        <v>28</v>
      </c>
      <c r="B73">
        <v>14.5</v>
      </c>
      <c r="C73">
        <v>4.88</v>
      </c>
      <c r="D73">
        <v>0.66</v>
      </c>
      <c r="E73">
        <v>0</v>
      </c>
      <c r="F73" s="33">
        <v>0.12720000000000001</v>
      </c>
      <c r="G73">
        <v>0.64800000000000002</v>
      </c>
      <c r="H73">
        <v>9.67</v>
      </c>
      <c r="I73">
        <v>-191.81</v>
      </c>
      <c r="J73">
        <v>9.74</v>
      </c>
      <c r="K73">
        <v>-167.88</v>
      </c>
      <c r="L73">
        <v>-167.88</v>
      </c>
      <c r="M73" s="33">
        <v>0</v>
      </c>
      <c r="N73" s="33">
        <v>0</v>
      </c>
      <c r="O73">
        <v>5.83</v>
      </c>
      <c r="P73" s="33">
        <v>-3.7000000000000002E-3</v>
      </c>
      <c r="Q73" s="33">
        <v>0.13469999999999999</v>
      </c>
      <c r="R73" s="34">
        <v>1198010</v>
      </c>
      <c r="S73" s="34">
        <v>8667970000</v>
      </c>
      <c r="T73">
        <v>0</v>
      </c>
      <c r="U73" s="33">
        <v>0</v>
      </c>
    </row>
    <row r="74" spans="1:21" x14ac:dyDescent="0.25">
      <c r="A74" t="s">
        <v>127</v>
      </c>
      <c r="B74">
        <v>15.61</v>
      </c>
      <c r="C74">
        <v>5.26</v>
      </c>
      <c r="D74">
        <v>0.71</v>
      </c>
      <c r="E74">
        <v>0</v>
      </c>
      <c r="F74" s="33">
        <v>0.13</v>
      </c>
      <c r="G74">
        <v>0.69799999999999995</v>
      </c>
      <c r="H74">
        <v>10.41</v>
      </c>
      <c r="I74">
        <v>-206.5</v>
      </c>
      <c r="J74">
        <v>10.48</v>
      </c>
      <c r="K74">
        <v>-182.56</v>
      </c>
      <c r="L74">
        <v>-182.56</v>
      </c>
      <c r="M74" s="33">
        <v>0</v>
      </c>
      <c r="N74" s="33">
        <v>0</v>
      </c>
      <c r="O74">
        <v>5.83</v>
      </c>
      <c r="P74" s="33">
        <v>-3.7000000000000002E-3</v>
      </c>
      <c r="Q74" s="33">
        <v>0.13469999999999999</v>
      </c>
      <c r="R74" s="34">
        <v>70695200</v>
      </c>
      <c r="S74" s="34">
        <v>8667970000</v>
      </c>
      <c r="T74">
        <v>0</v>
      </c>
      <c r="U74" s="33">
        <v>0</v>
      </c>
    </row>
    <row r="75" spans="1:21" x14ac:dyDescent="0.25">
      <c r="A75" t="s">
        <v>61</v>
      </c>
      <c r="B75">
        <v>20.78</v>
      </c>
      <c r="C75">
        <v>62.19</v>
      </c>
      <c r="D75">
        <v>0.86</v>
      </c>
      <c r="E75">
        <v>1.0049999999999999</v>
      </c>
      <c r="F75" s="33">
        <v>0</v>
      </c>
      <c r="G75">
        <v>0.223</v>
      </c>
      <c r="H75">
        <v>4.66</v>
      </c>
      <c r="I75">
        <v>4.99</v>
      </c>
      <c r="J75">
        <v>-0.39</v>
      </c>
      <c r="K75">
        <v>11.87</v>
      </c>
      <c r="L75">
        <v>6.71</v>
      </c>
      <c r="M75" s="33">
        <v>0.20169999999999999</v>
      </c>
      <c r="N75" s="33">
        <v>1.5599999999999999E-2</v>
      </c>
      <c r="O75">
        <v>1.4</v>
      </c>
      <c r="P75" s="33">
        <v>5.3100000000000001E-2</v>
      </c>
      <c r="Q75" s="33">
        <v>1.3899999999999999E-2</v>
      </c>
      <c r="R75" s="34">
        <v>158959000</v>
      </c>
      <c r="S75" s="34">
        <v>11151200000</v>
      </c>
      <c r="T75">
        <v>1.59</v>
      </c>
      <c r="U75" s="33">
        <v>1.2646999999999999</v>
      </c>
    </row>
    <row r="76" spans="1:21" x14ac:dyDescent="0.25">
      <c r="A76" t="s">
        <v>347</v>
      </c>
      <c r="B76">
        <v>15.46</v>
      </c>
      <c r="C76">
        <v>8.67</v>
      </c>
      <c r="D76">
        <v>2.04</v>
      </c>
      <c r="E76">
        <v>4.4240000000000004</v>
      </c>
      <c r="F76" s="33">
        <v>0.13</v>
      </c>
      <c r="G76">
        <v>0.105</v>
      </c>
      <c r="H76">
        <v>2.56</v>
      </c>
      <c r="I76">
        <v>76.34</v>
      </c>
      <c r="J76">
        <v>2.56</v>
      </c>
      <c r="K76">
        <v>22.88</v>
      </c>
      <c r="L76">
        <v>15.93</v>
      </c>
      <c r="M76" s="33">
        <v>5.8000000000000003E-2</v>
      </c>
      <c r="N76" s="33">
        <v>0.51049999999999995</v>
      </c>
      <c r="O76">
        <v>1.04</v>
      </c>
      <c r="P76" s="33">
        <v>0.1241</v>
      </c>
      <c r="Q76" s="33">
        <v>0.23530000000000001</v>
      </c>
      <c r="R76" s="34">
        <v>3938290</v>
      </c>
      <c r="S76" s="34">
        <v>796079000</v>
      </c>
      <c r="T76">
        <v>17.75</v>
      </c>
      <c r="U76" s="33">
        <v>-0.2029</v>
      </c>
    </row>
    <row r="77" spans="1:21" x14ac:dyDescent="0.25">
      <c r="A77" t="s">
        <v>135</v>
      </c>
      <c r="B77">
        <v>21</v>
      </c>
      <c r="C77">
        <v>9.2200000000000006</v>
      </c>
      <c r="D77">
        <v>2.2000000000000002</v>
      </c>
      <c r="E77">
        <v>0.55600000000000005</v>
      </c>
      <c r="F77" s="33">
        <v>3.3599999999999998E-2</v>
      </c>
      <c r="G77">
        <v>0.56200000000000006</v>
      </c>
      <c r="H77">
        <v>3.57</v>
      </c>
      <c r="I77">
        <v>4.75</v>
      </c>
      <c r="J77">
        <v>-2.5099999999999998</v>
      </c>
      <c r="K77">
        <v>5.68</v>
      </c>
      <c r="L77">
        <v>3.86</v>
      </c>
      <c r="M77" s="33">
        <v>0.1171</v>
      </c>
      <c r="N77" s="33">
        <v>6.7400000000000002E-2</v>
      </c>
      <c r="O77">
        <v>1.46</v>
      </c>
      <c r="P77" s="33">
        <v>0.21329999999999999</v>
      </c>
      <c r="Q77" s="33">
        <v>0.2389</v>
      </c>
      <c r="R77" s="34">
        <v>195425000</v>
      </c>
      <c r="S77" s="34">
        <v>16044400000</v>
      </c>
      <c r="T77">
        <v>1.24</v>
      </c>
      <c r="U77" s="33">
        <v>9.9400000000000002E-2</v>
      </c>
    </row>
    <row r="78" spans="1:21" x14ac:dyDescent="0.25">
      <c r="A78" t="s">
        <v>247</v>
      </c>
      <c r="B78">
        <v>11.01</v>
      </c>
      <c r="C78">
        <v>-0.95</v>
      </c>
      <c r="D78">
        <v>-2.0699999999999998</v>
      </c>
      <c r="E78">
        <v>0.111</v>
      </c>
      <c r="F78" s="33">
        <v>0</v>
      </c>
      <c r="G78">
        <v>9.1999999999999998E-2</v>
      </c>
      <c r="H78">
        <v>1.07</v>
      </c>
      <c r="I78">
        <v>9.6199999999999992</v>
      </c>
      <c r="J78">
        <v>-0.13</v>
      </c>
      <c r="K78">
        <v>49.22</v>
      </c>
      <c r="L78">
        <v>7.71</v>
      </c>
      <c r="M78" s="33">
        <v>1.1599999999999999E-2</v>
      </c>
      <c r="N78" s="33">
        <v>-0.127</v>
      </c>
      <c r="O78">
        <v>1.32</v>
      </c>
      <c r="P78" s="33">
        <v>1.37E-2</v>
      </c>
      <c r="Q78" s="33">
        <v>2.19</v>
      </c>
      <c r="R78" s="34">
        <v>356911</v>
      </c>
      <c r="S78" s="34">
        <v>-4236000000</v>
      </c>
      <c r="T78">
        <v>-11.6</v>
      </c>
      <c r="U78" s="33">
        <v>-1.7999999999999999E-2</v>
      </c>
    </row>
    <row r="79" spans="1:21" x14ac:dyDescent="0.25">
      <c r="A79" t="s">
        <v>348</v>
      </c>
      <c r="B79">
        <v>10.15</v>
      </c>
      <c r="C79">
        <v>-0.87</v>
      </c>
      <c r="D79">
        <v>-1.91</v>
      </c>
      <c r="E79">
        <v>0.10199999999999999</v>
      </c>
      <c r="F79" s="33">
        <v>0</v>
      </c>
      <c r="G79">
        <v>8.5000000000000006E-2</v>
      </c>
      <c r="H79">
        <v>0.99</v>
      </c>
      <c r="I79">
        <v>8.8699999999999992</v>
      </c>
      <c r="J79">
        <v>-0.12</v>
      </c>
      <c r="K79">
        <v>48.47</v>
      </c>
      <c r="L79">
        <v>7.59</v>
      </c>
      <c r="M79" s="33">
        <v>1.1599999999999999E-2</v>
      </c>
      <c r="N79" s="33">
        <v>-0.127</v>
      </c>
      <c r="O79">
        <v>1.32</v>
      </c>
      <c r="P79" s="33">
        <v>1.37E-2</v>
      </c>
      <c r="Q79" s="33">
        <v>2.19</v>
      </c>
      <c r="R79" s="34">
        <v>40971900</v>
      </c>
      <c r="S79" s="34">
        <v>-4236000000</v>
      </c>
      <c r="T79">
        <v>-11.6</v>
      </c>
      <c r="U79" s="33">
        <v>-1.7999999999999999E-2</v>
      </c>
    </row>
    <row r="80" spans="1:21" x14ac:dyDescent="0.25">
      <c r="A80" t="s">
        <v>349</v>
      </c>
      <c r="B80">
        <v>8</v>
      </c>
      <c r="C80">
        <v>-0.69</v>
      </c>
      <c r="D80">
        <v>-1.51</v>
      </c>
      <c r="E80">
        <v>8.1000000000000003E-2</v>
      </c>
      <c r="F80" s="33">
        <v>0</v>
      </c>
      <c r="G80">
        <v>6.7000000000000004E-2</v>
      </c>
      <c r="H80">
        <v>0.78</v>
      </c>
      <c r="I80">
        <v>6.99</v>
      </c>
      <c r="J80">
        <v>-0.1</v>
      </c>
      <c r="K80">
        <v>46.59</v>
      </c>
      <c r="L80">
        <v>7.3</v>
      </c>
      <c r="M80" s="33">
        <v>1.1599999999999999E-2</v>
      </c>
      <c r="N80" s="33">
        <v>-0.127</v>
      </c>
      <c r="O80">
        <v>1.32</v>
      </c>
      <c r="P80" s="33">
        <v>1.37E-2</v>
      </c>
      <c r="Q80" s="33">
        <v>2.19</v>
      </c>
      <c r="R80" s="34">
        <v>360.1</v>
      </c>
      <c r="S80" s="34">
        <v>-4236000000</v>
      </c>
      <c r="T80">
        <v>-11.6</v>
      </c>
      <c r="U80" s="33">
        <v>-1.7999999999999999E-2</v>
      </c>
    </row>
    <row r="81" spans="1:21" x14ac:dyDescent="0.25">
      <c r="A81" t="s">
        <v>350</v>
      </c>
      <c r="B81">
        <v>11.9</v>
      </c>
      <c r="C81">
        <v>5.0199999999999996</v>
      </c>
      <c r="D81">
        <v>0.47</v>
      </c>
      <c r="E81">
        <v>0</v>
      </c>
      <c r="F81" s="33">
        <v>0.1022</v>
      </c>
      <c r="G81">
        <v>0</v>
      </c>
      <c r="H81" s="34">
        <v>0</v>
      </c>
      <c r="I81">
        <v>0</v>
      </c>
      <c r="J81">
        <v>0</v>
      </c>
      <c r="K81">
        <v>0</v>
      </c>
      <c r="L81">
        <v>0</v>
      </c>
      <c r="M81" s="33">
        <v>0</v>
      </c>
      <c r="N81" s="33">
        <v>0</v>
      </c>
      <c r="O81">
        <v>0</v>
      </c>
      <c r="P81" s="33">
        <v>0</v>
      </c>
      <c r="Q81" s="33">
        <v>9.3100000000000002E-2</v>
      </c>
      <c r="R81" s="34">
        <v>63429.7</v>
      </c>
      <c r="S81" s="34">
        <v>10409200000</v>
      </c>
      <c r="T81">
        <v>0</v>
      </c>
      <c r="U81" s="33">
        <v>4.7E-2</v>
      </c>
    </row>
    <row r="82" spans="1:21" x14ac:dyDescent="0.25">
      <c r="A82" t="s">
        <v>351</v>
      </c>
      <c r="B82">
        <v>14.43</v>
      </c>
      <c r="C82">
        <v>6.09</v>
      </c>
      <c r="D82">
        <v>0.56999999999999995</v>
      </c>
      <c r="E82">
        <v>0</v>
      </c>
      <c r="F82" s="33">
        <v>0.10340000000000001</v>
      </c>
      <c r="G82">
        <v>0</v>
      </c>
      <c r="H82">
        <v>0</v>
      </c>
      <c r="I82">
        <v>0</v>
      </c>
      <c r="J82">
        <v>0</v>
      </c>
      <c r="K82">
        <v>0</v>
      </c>
      <c r="L82">
        <v>0</v>
      </c>
      <c r="M82" s="33">
        <v>0</v>
      </c>
      <c r="N82" s="33">
        <v>0</v>
      </c>
      <c r="O82">
        <v>0</v>
      </c>
      <c r="P82" s="33">
        <v>0</v>
      </c>
      <c r="Q82" s="33">
        <v>9.3100000000000002E-2</v>
      </c>
      <c r="R82" s="34">
        <v>3910.19</v>
      </c>
      <c r="S82" s="34">
        <v>10409200000</v>
      </c>
      <c r="T82">
        <v>0</v>
      </c>
      <c r="U82" s="33">
        <v>4.7E-2</v>
      </c>
    </row>
    <row r="83" spans="1:21" x14ac:dyDescent="0.25">
      <c r="A83" t="s">
        <v>37</v>
      </c>
      <c r="B83">
        <v>11.44</v>
      </c>
      <c r="C83">
        <v>4.83</v>
      </c>
      <c r="D83">
        <v>0.45</v>
      </c>
      <c r="E83">
        <v>0</v>
      </c>
      <c r="F83" s="33">
        <v>0.10639999999999999</v>
      </c>
      <c r="G83">
        <v>0</v>
      </c>
      <c r="H83">
        <v>0</v>
      </c>
      <c r="I83">
        <v>0</v>
      </c>
      <c r="J83">
        <v>0</v>
      </c>
      <c r="K83">
        <v>0</v>
      </c>
      <c r="L83">
        <v>0</v>
      </c>
      <c r="M83" s="33">
        <v>0</v>
      </c>
      <c r="N83" s="33">
        <v>0</v>
      </c>
      <c r="O83">
        <v>0</v>
      </c>
      <c r="P83" s="33">
        <v>0</v>
      </c>
      <c r="Q83" s="33">
        <v>9.3100000000000002E-2</v>
      </c>
      <c r="R83" s="34">
        <v>15773200</v>
      </c>
      <c r="S83" s="34">
        <v>10409200000</v>
      </c>
      <c r="T83">
        <v>0</v>
      </c>
      <c r="U83" s="33">
        <v>4.7E-2</v>
      </c>
    </row>
    <row r="84" spans="1:21" x14ac:dyDescent="0.25">
      <c r="A84" t="s">
        <v>352</v>
      </c>
      <c r="B84">
        <v>2.86</v>
      </c>
      <c r="C84">
        <v>20.79</v>
      </c>
      <c r="D84">
        <v>0.81</v>
      </c>
      <c r="E84">
        <v>0.84399999999999997</v>
      </c>
      <c r="F84" s="33">
        <v>1.44E-2</v>
      </c>
      <c r="G84">
        <v>0.30599999999999999</v>
      </c>
      <c r="H84">
        <v>-9.2100000000000009</v>
      </c>
      <c r="I84">
        <v>6.55</v>
      </c>
      <c r="J84">
        <v>-0.69</v>
      </c>
      <c r="K84">
        <v>14.02</v>
      </c>
      <c r="L84" s="34">
        <v>4.2699999999999996</v>
      </c>
      <c r="M84" s="33">
        <v>0.1288</v>
      </c>
      <c r="N84" s="33">
        <v>4.0599999999999997E-2</v>
      </c>
      <c r="O84">
        <v>0.84</v>
      </c>
      <c r="P84" s="33">
        <v>5.6599999999999998E-2</v>
      </c>
      <c r="Q84" s="33">
        <v>3.9199999999999999E-2</v>
      </c>
      <c r="R84" s="34">
        <v>625055</v>
      </c>
      <c r="S84" s="34">
        <v>1537560000</v>
      </c>
      <c r="T84">
        <v>1.23</v>
      </c>
      <c r="U84" s="33">
        <v>0</v>
      </c>
    </row>
    <row r="85" spans="1:21" x14ac:dyDescent="0.25">
      <c r="A85" t="s">
        <v>353</v>
      </c>
      <c r="B85">
        <v>7.54</v>
      </c>
      <c r="C85">
        <v>18.73</v>
      </c>
      <c r="D85">
        <v>0.99</v>
      </c>
      <c r="E85">
        <v>0</v>
      </c>
      <c r="F85" s="33">
        <v>0.49909999999999999</v>
      </c>
      <c r="G85">
        <v>0</v>
      </c>
      <c r="H85">
        <v>0</v>
      </c>
      <c r="I85">
        <v>0</v>
      </c>
      <c r="J85">
        <v>0</v>
      </c>
      <c r="K85">
        <v>0</v>
      </c>
      <c r="L85">
        <v>0</v>
      </c>
      <c r="M85" s="33">
        <v>0</v>
      </c>
      <c r="N85" s="33">
        <v>0</v>
      </c>
      <c r="O85">
        <v>0</v>
      </c>
      <c r="P85" s="33">
        <v>0</v>
      </c>
      <c r="Q85" s="33">
        <v>5.3100000000000001E-2</v>
      </c>
      <c r="R85" s="34">
        <v>42938.8</v>
      </c>
      <c r="S85" s="34">
        <v>3687330000</v>
      </c>
      <c r="T85">
        <v>0</v>
      </c>
      <c r="U85" s="33">
        <v>0.1065</v>
      </c>
    </row>
    <row r="86" spans="1:21" x14ac:dyDescent="0.25">
      <c r="A86" t="s">
        <v>354</v>
      </c>
      <c r="B86">
        <v>8</v>
      </c>
      <c r="C86">
        <v>19.87</v>
      </c>
      <c r="D86">
        <v>1.05</v>
      </c>
      <c r="E86">
        <v>0</v>
      </c>
      <c r="F86" s="33">
        <v>0.51749999999999996</v>
      </c>
      <c r="G86">
        <v>0</v>
      </c>
      <c r="H86">
        <v>0</v>
      </c>
      <c r="I86">
        <v>0</v>
      </c>
      <c r="J86">
        <v>0</v>
      </c>
      <c r="K86">
        <v>0</v>
      </c>
      <c r="L86">
        <v>0</v>
      </c>
      <c r="M86" s="33">
        <v>0</v>
      </c>
      <c r="N86" s="33">
        <v>0</v>
      </c>
      <c r="O86">
        <v>0</v>
      </c>
      <c r="P86" s="33">
        <v>0</v>
      </c>
      <c r="Q86" s="33">
        <v>5.3100000000000001E-2</v>
      </c>
      <c r="R86" s="34">
        <v>38185.800000000003</v>
      </c>
      <c r="S86" s="34">
        <v>3687330000</v>
      </c>
      <c r="T86">
        <v>0</v>
      </c>
      <c r="U86" s="33">
        <v>0.1065</v>
      </c>
    </row>
    <row r="87" spans="1:21" x14ac:dyDescent="0.25">
      <c r="A87" t="s">
        <v>27</v>
      </c>
      <c r="B87">
        <v>9.7200000000000006</v>
      </c>
      <c r="C87">
        <v>5.49</v>
      </c>
      <c r="D87">
        <v>1.39</v>
      </c>
      <c r="E87">
        <v>0.96499999999999997</v>
      </c>
      <c r="F87" s="33">
        <v>8.6499999999999994E-2</v>
      </c>
      <c r="G87">
        <v>1.0820000000000001</v>
      </c>
      <c r="H87">
        <v>3.23</v>
      </c>
      <c r="I87">
        <v>4.72</v>
      </c>
      <c r="J87">
        <v>3.91</v>
      </c>
      <c r="K87">
        <v>4.2</v>
      </c>
      <c r="L87">
        <v>3.62</v>
      </c>
      <c r="M87" s="33">
        <v>0.20469999999999999</v>
      </c>
      <c r="N87" s="33">
        <v>0.1759</v>
      </c>
      <c r="O87">
        <v>3.09</v>
      </c>
      <c r="P87" s="33">
        <v>0.27610000000000001</v>
      </c>
      <c r="Q87" s="33">
        <v>0.2525</v>
      </c>
      <c r="R87" s="34">
        <v>381517</v>
      </c>
      <c r="S87" s="34">
        <v>296523000</v>
      </c>
      <c r="T87">
        <v>0.01</v>
      </c>
      <c r="U87" s="33">
        <v>0.30299999999999999</v>
      </c>
    </row>
    <row r="88" spans="1:21" x14ac:dyDescent="0.25">
      <c r="A88" t="s">
        <v>251</v>
      </c>
      <c r="B88">
        <v>5.0599999999999996</v>
      </c>
      <c r="C88">
        <v>8.16</v>
      </c>
      <c r="D88">
        <v>0.51</v>
      </c>
      <c r="E88">
        <v>0.14399999999999999</v>
      </c>
      <c r="F88" s="33">
        <v>4.3499999999999997E-2</v>
      </c>
      <c r="G88">
        <v>0.159</v>
      </c>
      <c r="H88">
        <v>0.73</v>
      </c>
      <c r="I88">
        <v>3.02</v>
      </c>
      <c r="J88">
        <v>-1.23</v>
      </c>
      <c r="K88">
        <v>8.1</v>
      </c>
      <c r="L88">
        <v>5.57</v>
      </c>
      <c r="M88" s="33">
        <v>4.7899999999999998E-2</v>
      </c>
      <c r="N88" s="33">
        <v>1.77E-2</v>
      </c>
      <c r="O88">
        <v>1.64</v>
      </c>
      <c r="P88" s="33">
        <v>8.0500000000000002E-2</v>
      </c>
      <c r="Q88" s="33">
        <v>6.2799999999999995E-2</v>
      </c>
      <c r="R88" s="34">
        <v>7256750</v>
      </c>
      <c r="S88" s="34">
        <v>3457320000</v>
      </c>
      <c r="T88">
        <v>1.59</v>
      </c>
      <c r="U88" s="33">
        <v>0.12909999999999999</v>
      </c>
    </row>
    <row r="89" spans="1:21" x14ac:dyDescent="0.25">
      <c r="A89" t="s">
        <v>226</v>
      </c>
      <c r="B89">
        <v>7.06</v>
      </c>
      <c r="C89">
        <v>-44.53</v>
      </c>
      <c r="D89">
        <v>2.2599999999999998</v>
      </c>
      <c r="E89">
        <v>2.077</v>
      </c>
      <c r="F89" s="33">
        <v>0.2762</v>
      </c>
      <c r="G89">
        <v>1.6339999999999999</v>
      </c>
      <c r="H89">
        <v>3.67</v>
      </c>
      <c r="I89">
        <v>-47.12</v>
      </c>
      <c r="J89">
        <v>4.41</v>
      </c>
      <c r="K89">
        <v>-33.46</v>
      </c>
      <c r="L89">
        <v>-139.31</v>
      </c>
      <c r="M89" s="33">
        <v>-4.41E-2</v>
      </c>
      <c r="N89" s="33">
        <v>-5.33E-2</v>
      </c>
      <c r="O89">
        <v>3.35</v>
      </c>
      <c r="P89" s="33">
        <v>-6.8599999999999994E-2</v>
      </c>
      <c r="Q89" s="33">
        <v>-5.0700000000000002E-2</v>
      </c>
      <c r="R89" s="34">
        <v>49739300</v>
      </c>
      <c r="S89" s="34">
        <v>352593000</v>
      </c>
      <c r="T89">
        <v>0</v>
      </c>
      <c r="U89" s="33">
        <v>0.21690000000000001</v>
      </c>
    </row>
    <row r="90" spans="1:21" x14ac:dyDescent="0.25">
      <c r="A90" t="s">
        <v>137</v>
      </c>
      <c r="B90">
        <v>4.3099999999999996</v>
      </c>
      <c r="C90">
        <v>15.53</v>
      </c>
      <c r="D90">
        <v>0.66</v>
      </c>
      <c r="E90">
        <v>0.318</v>
      </c>
      <c r="F90" s="33">
        <v>0</v>
      </c>
      <c r="G90">
        <v>0.21</v>
      </c>
      <c r="H90">
        <v>1.54</v>
      </c>
      <c r="I90">
        <v>3.87</v>
      </c>
      <c r="J90">
        <v>-0.6</v>
      </c>
      <c r="K90">
        <v>8.26</v>
      </c>
      <c r="L90">
        <v>4.28</v>
      </c>
      <c r="M90" s="33">
        <v>8.2299999999999998E-2</v>
      </c>
      <c r="N90" s="33">
        <v>3.3000000000000002E-2</v>
      </c>
      <c r="O90">
        <v>1.77</v>
      </c>
      <c r="P90" s="33">
        <v>6.4600000000000005E-2</v>
      </c>
      <c r="Q90" s="33">
        <v>4.2200000000000001E-2</v>
      </c>
      <c r="R90" s="34">
        <v>24646300</v>
      </c>
      <c r="S90" s="34">
        <v>4280660000</v>
      </c>
      <c r="T90">
        <v>0.94</v>
      </c>
      <c r="U90" s="33">
        <v>-2.0299999999999999E-2</v>
      </c>
    </row>
    <row r="91" spans="1:21" x14ac:dyDescent="0.25">
      <c r="A91" t="s">
        <v>355</v>
      </c>
      <c r="B91">
        <v>8.49</v>
      </c>
      <c r="C91">
        <v>4.67</v>
      </c>
      <c r="D91">
        <v>0.38</v>
      </c>
      <c r="E91">
        <v>0.35899999999999999</v>
      </c>
      <c r="F91" s="33">
        <v>4.9299999999999997E-2</v>
      </c>
      <c r="G91">
        <v>0.16200000000000001</v>
      </c>
      <c r="H91">
        <v>-1.23</v>
      </c>
      <c r="I91">
        <v>2.78</v>
      </c>
      <c r="J91">
        <v>-0.45</v>
      </c>
      <c r="K91">
        <v>6.54</v>
      </c>
      <c r="L91">
        <v>3.76</v>
      </c>
      <c r="M91" s="33">
        <v>0.12920000000000001</v>
      </c>
      <c r="N91" s="33">
        <v>7.6899999999999996E-2</v>
      </c>
      <c r="O91">
        <v>0.62</v>
      </c>
      <c r="P91" s="33">
        <v>6.3899999999999998E-2</v>
      </c>
      <c r="Q91" s="33">
        <v>8.14E-2</v>
      </c>
      <c r="R91" s="34">
        <v>413.91</v>
      </c>
      <c r="S91" s="34">
        <v>8493750000</v>
      </c>
      <c r="T91">
        <v>0.55000000000000004</v>
      </c>
      <c r="U91" s="33">
        <v>5.4899999999999997E-2</v>
      </c>
    </row>
    <row r="92" spans="1:21" x14ac:dyDescent="0.25">
      <c r="A92" t="s">
        <v>195</v>
      </c>
      <c r="B92">
        <v>16.649999999999999</v>
      </c>
      <c r="C92">
        <v>13.31</v>
      </c>
      <c r="D92">
        <v>1.57</v>
      </c>
      <c r="E92">
        <v>0.65800000000000003</v>
      </c>
      <c r="F92" s="33">
        <v>2.3E-2</v>
      </c>
      <c r="G92">
        <v>0.55300000000000005</v>
      </c>
      <c r="H92">
        <v>5.0999999999999996</v>
      </c>
      <c r="I92">
        <v>5.19</v>
      </c>
      <c r="J92">
        <v>-3.1</v>
      </c>
      <c r="K92">
        <v>5.1100000000000003</v>
      </c>
      <c r="L92">
        <v>4.07</v>
      </c>
      <c r="M92" s="33">
        <v>0.1268</v>
      </c>
      <c r="N92" s="33">
        <v>4.9500000000000002E-2</v>
      </c>
      <c r="O92">
        <v>1.3</v>
      </c>
      <c r="P92" s="33">
        <v>0.16889999999999999</v>
      </c>
      <c r="Q92" s="33">
        <v>0.1182</v>
      </c>
      <c r="R92" s="34">
        <v>47994400</v>
      </c>
      <c r="S92" s="34">
        <v>3262550000</v>
      </c>
      <c r="T92">
        <v>0.44</v>
      </c>
      <c r="U92" s="33">
        <v>0.17480000000000001</v>
      </c>
    </row>
    <row r="93" spans="1:21" x14ac:dyDescent="0.25">
      <c r="A93" t="s">
        <v>356</v>
      </c>
      <c r="B93">
        <v>18.93</v>
      </c>
      <c r="C93">
        <v>7.57</v>
      </c>
      <c r="D93">
        <v>1.22</v>
      </c>
      <c r="E93">
        <v>3.4929999999999999</v>
      </c>
      <c r="F93" s="33">
        <v>0.1043</v>
      </c>
      <c r="G93">
        <v>0.89200000000000002</v>
      </c>
      <c r="H93">
        <v>1.75</v>
      </c>
      <c r="I93">
        <v>10.38</v>
      </c>
      <c r="J93">
        <v>1.89</v>
      </c>
      <c r="K93">
        <v>5.19</v>
      </c>
      <c r="L93">
        <v>4.88</v>
      </c>
      <c r="M93" s="33">
        <v>0.3367</v>
      </c>
      <c r="N93" s="33">
        <v>0.60240000000000005</v>
      </c>
      <c r="O93">
        <v>9.39</v>
      </c>
      <c r="P93" s="33">
        <v>0.15870000000000001</v>
      </c>
      <c r="Q93" s="33">
        <v>0.1618</v>
      </c>
      <c r="R93" s="34">
        <v>145906</v>
      </c>
      <c r="S93" s="34">
        <v>1115020000</v>
      </c>
      <c r="T93">
        <v>0</v>
      </c>
      <c r="U93" s="33">
        <v>3.6600000000000001E-2</v>
      </c>
    </row>
    <row r="94" spans="1:21" x14ac:dyDescent="0.25">
      <c r="A94" t="s">
        <v>357</v>
      </c>
      <c r="B94">
        <v>19</v>
      </c>
      <c r="C94">
        <v>7.59</v>
      </c>
      <c r="D94">
        <v>1.23</v>
      </c>
      <c r="E94">
        <v>3.5059999999999998</v>
      </c>
      <c r="F94" s="33">
        <v>0.10390000000000001</v>
      </c>
      <c r="G94">
        <v>0.89500000000000002</v>
      </c>
      <c r="H94">
        <v>1.75</v>
      </c>
      <c r="I94">
        <v>10.41</v>
      </c>
      <c r="J94">
        <v>1.89</v>
      </c>
      <c r="K94">
        <v>5.23</v>
      </c>
      <c r="L94">
        <v>4.91</v>
      </c>
      <c r="M94" s="33">
        <v>0.3367</v>
      </c>
      <c r="N94" s="33">
        <v>0.60240000000000005</v>
      </c>
      <c r="O94">
        <v>9.39</v>
      </c>
      <c r="P94" s="33">
        <v>0.15870000000000001</v>
      </c>
      <c r="Q94" s="33">
        <v>0.1618</v>
      </c>
      <c r="R94" s="34">
        <v>61793.4</v>
      </c>
      <c r="S94" s="34">
        <v>1115020000</v>
      </c>
      <c r="T94">
        <v>0</v>
      </c>
      <c r="U94" s="33">
        <v>3.6600000000000001E-2</v>
      </c>
    </row>
    <row r="95" spans="1:21" x14ac:dyDescent="0.25">
      <c r="A95" t="s">
        <v>20</v>
      </c>
      <c r="B95">
        <v>21.1</v>
      </c>
      <c r="C95">
        <v>8.43</v>
      </c>
      <c r="D95">
        <v>1.36</v>
      </c>
      <c r="E95">
        <v>3.8929999999999998</v>
      </c>
      <c r="F95" s="33">
        <v>0.10290000000000001</v>
      </c>
      <c r="G95">
        <v>0.99399999999999999</v>
      </c>
      <c r="H95">
        <v>1.95</v>
      </c>
      <c r="I95">
        <v>11.56</v>
      </c>
      <c r="J95">
        <v>2.1</v>
      </c>
      <c r="K95">
        <v>6.38</v>
      </c>
      <c r="L95">
        <v>5.99</v>
      </c>
      <c r="M95" s="33">
        <v>0.3367</v>
      </c>
      <c r="N95" s="33">
        <v>0.60240000000000005</v>
      </c>
      <c r="O95">
        <v>9.39</v>
      </c>
      <c r="P95" s="33">
        <v>0.15870000000000001</v>
      </c>
      <c r="Q95" s="33">
        <v>0.1618</v>
      </c>
      <c r="R95" s="34">
        <v>175178</v>
      </c>
      <c r="S95" s="34">
        <v>1115020000</v>
      </c>
      <c r="T95">
        <v>0</v>
      </c>
      <c r="U95" s="33">
        <v>3.6600000000000001E-2</v>
      </c>
    </row>
    <row r="96" spans="1:21" x14ac:dyDescent="0.25">
      <c r="A96" t="s">
        <v>358</v>
      </c>
      <c r="B96">
        <v>29.4</v>
      </c>
      <c r="C96">
        <v>2.95</v>
      </c>
      <c r="D96">
        <v>0.94</v>
      </c>
      <c r="E96">
        <v>0.28399999999999997</v>
      </c>
      <c r="F96" s="33">
        <v>0</v>
      </c>
      <c r="G96">
        <v>0.30299999999999999</v>
      </c>
      <c r="H96">
        <v>4.43</v>
      </c>
      <c r="I96">
        <v>1.62</v>
      </c>
      <c r="J96">
        <v>-1.22</v>
      </c>
      <c r="K96">
        <v>3.75</v>
      </c>
      <c r="L96">
        <v>3.3</v>
      </c>
      <c r="M96" s="33">
        <v>0.17499999999999999</v>
      </c>
      <c r="N96" s="33">
        <v>9.64E-2</v>
      </c>
      <c r="O96">
        <v>1.19</v>
      </c>
      <c r="P96" s="33">
        <v>0.2024</v>
      </c>
      <c r="Q96" s="33">
        <v>0.31819999999999998</v>
      </c>
      <c r="R96" s="34">
        <v>2303.86</v>
      </c>
      <c r="S96" s="34">
        <v>313676000</v>
      </c>
      <c r="T96">
        <v>1.25</v>
      </c>
      <c r="U96" s="33">
        <v>9.4399999999999998E-2</v>
      </c>
    </row>
    <row r="97" spans="1:21" x14ac:dyDescent="0.25">
      <c r="A97" t="s">
        <v>359</v>
      </c>
      <c r="B97">
        <v>18</v>
      </c>
      <c r="C97">
        <v>1.8</v>
      </c>
      <c r="D97">
        <v>0.56999999999999995</v>
      </c>
      <c r="E97">
        <v>0.17399999999999999</v>
      </c>
      <c r="F97" s="33">
        <v>0</v>
      </c>
      <c r="G97">
        <v>0.185</v>
      </c>
      <c r="H97">
        <v>2.72</v>
      </c>
      <c r="I97">
        <v>0.99</v>
      </c>
      <c r="J97">
        <v>-0.75</v>
      </c>
      <c r="K97">
        <v>3.12</v>
      </c>
      <c r="L97">
        <v>2.75</v>
      </c>
      <c r="M97" s="33">
        <v>0.17499999999999999</v>
      </c>
      <c r="N97" s="33">
        <v>9.64E-2</v>
      </c>
      <c r="O97">
        <v>1.19</v>
      </c>
      <c r="P97" s="33">
        <v>0.2024</v>
      </c>
      <c r="Q97" s="33">
        <v>0.31819999999999998</v>
      </c>
      <c r="R97" s="34">
        <v>27353.7</v>
      </c>
      <c r="S97" s="34">
        <v>313676000</v>
      </c>
      <c r="T97">
        <v>1.25</v>
      </c>
      <c r="U97" s="33">
        <v>9.4399999999999998E-2</v>
      </c>
    </row>
    <row r="98" spans="1:21" x14ac:dyDescent="0.25">
      <c r="A98" t="s">
        <v>360</v>
      </c>
      <c r="B98">
        <v>37.81</v>
      </c>
      <c r="C98">
        <v>5.64</v>
      </c>
      <c r="D98">
        <v>1.26</v>
      </c>
      <c r="E98">
        <v>0.59299999999999997</v>
      </c>
      <c r="F98" s="33">
        <v>4.4299999999999999E-2</v>
      </c>
      <c r="G98">
        <v>0.317</v>
      </c>
      <c r="H98">
        <v>-8.2899999999999991</v>
      </c>
      <c r="I98">
        <v>2.34</v>
      </c>
      <c r="J98">
        <v>-0.56000000000000005</v>
      </c>
      <c r="K98">
        <v>5.82</v>
      </c>
      <c r="L98">
        <v>4.71</v>
      </c>
      <c r="M98" s="33">
        <v>0.25280000000000002</v>
      </c>
      <c r="N98" s="33">
        <v>0.1051</v>
      </c>
      <c r="O98">
        <v>0.83</v>
      </c>
      <c r="P98" s="33">
        <v>0.14499999999999999</v>
      </c>
      <c r="Q98" s="33">
        <v>0.2235</v>
      </c>
      <c r="R98" s="34">
        <v>7018.38</v>
      </c>
      <c r="S98" s="34">
        <v>7858000000</v>
      </c>
      <c r="T98">
        <v>1.97</v>
      </c>
      <c r="U98" s="33">
        <v>7.2800000000000004E-2</v>
      </c>
    </row>
    <row r="99" spans="1:21" x14ac:dyDescent="0.25">
      <c r="A99" t="s">
        <v>361</v>
      </c>
      <c r="B99">
        <v>45.99</v>
      </c>
      <c r="C99">
        <v>6.86</v>
      </c>
      <c r="D99">
        <v>1.53</v>
      </c>
      <c r="E99">
        <v>0.72099999999999997</v>
      </c>
      <c r="F99" s="33">
        <v>3.6400000000000002E-2</v>
      </c>
      <c r="G99">
        <v>0.38600000000000001</v>
      </c>
      <c r="H99">
        <v>-10.08</v>
      </c>
      <c r="I99">
        <v>2.85</v>
      </c>
      <c r="J99">
        <v>-0.68</v>
      </c>
      <c r="K99">
        <v>6.32</v>
      </c>
      <c r="L99">
        <v>5.12</v>
      </c>
      <c r="M99" s="33">
        <v>0.25280000000000002</v>
      </c>
      <c r="N99" s="33">
        <v>0.1051</v>
      </c>
      <c r="O99">
        <v>0.83</v>
      </c>
      <c r="P99" s="33">
        <v>0.14499999999999999</v>
      </c>
      <c r="Q99" s="33">
        <v>0.2235</v>
      </c>
      <c r="R99" s="34">
        <v>282.83</v>
      </c>
      <c r="S99" s="34">
        <v>7858000000</v>
      </c>
      <c r="T99">
        <v>1.97</v>
      </c>
      <c r="U99" s="33">
        <v>7.2800000000000004E-2</v>
      </c>
    </row>
    <row r="100" spans="1:21" x14ac:dyDescent="0.25">
      <c r="A100" t="s">
        <v>362</v>
      </c>
      <c r="B100">
        <v>8.9</v>
      </c>
      <c r="C100">
        <v>-1.28</v>
      </c>
      <c r="D100">
        <v>-0.17</v>
      </c>
      <c r="E100">
        <v>0.108</v>
      </c>
      <c r="F100" s="33">
        <v>0</v>
      </c>
      <c r="G100">
        <v>7.3999999999999996E-2</v>
      </c>
      <c r="H100">
        <v>2</v>
      </c>
      <c r="I100">
        <v>1.02</v>
      </c>
      <c r="J100">
        <v>-7.0000000000000007E-2</v>
      </c>
      <c r="K100">
        <v>9.3800000000000008</v>
      </c>
      <c r="L100">
        <v>7.3</v>
      </c>
      <c r="M100" s="33">
        <v>0.1061</v>
      </c>
      <c r="N100" s="33">
        <v>-8.4500000000000006E-2</v>
      </c>
      <c r="O100">
        <v>1.1299999999999999</v>
      </c>
      <c r="P100" s="33">
        <v>8.6699999999999999E-2</v>
      </c>
      <c r="Q100" s="33">
        <v>0.13139999999999999</v>
      </c>
      <c r="R100" s="34">
        <v>554.92999999999995</v>
      </c>
      <c r="S100" s="34">
        <v>-3617840000</v>
      </c>
      <c r="T100">
        <v>-1.58</v>
      </c>
      <c r="U100" s="33">
        <v>8.8400000000000006E-2</v>
      </c>
    </row>
    <row r="101" spans="1:21" x14ac:dyDescent="0.25">
      <c r="A101" t="s">
        <v>363</v>
      </c>
      <c r="B101">
        <v>138.94999999999999</v>
      </c>
      <c r="C101">
        <v>10.48</v>
      </c>
      <c r="D101">
        <v>12.97</v>
      </c>
      <c r="E101">
        <v>1.236</v>
      </c>
      <c r="F101" s="33">
        <v>7.1499999999999994E-2</v>
      </c>
      <c r="G101">
        <v>1.3129999999999999</v>
      </c>
      <c r="H101">
        <v>10.25</v>
      </c>
      <c r="I101">
        <v>6.34</v>
      </c>
      <c r="J101">
        <v>-2.06</v>
      </c>
      <c r="K101">
        <v>8.8699999999999992</v>
      </c>
      <c r="L101">
        <v>7.21</v>
      </c>
      <c r="M101" s="33">
        <v>0.1951</v>
      </c>
      <c r="N101" s="33">
        <v>0.1179</v>
      </c>
      <c r="O101">
        <v>1.95</v>
      </c>
      <c r="P101" s="33">
        <v>0.2429</v>
      </c>
      <c r="Q101" s="33">
        <v>1.2369000000000001</v>
      </c>
      <c r="R101" s="34">
        <v>3021.86</v>
      </c>
      <c r="S101" s="34">
        <v>1420180000</v>
      </c>
      <c r="T101">
        <v>5.98</v>
      </c>
      <c r="U101" s="33">
        <v>0.1389</v>
      </c>
    </row>
    <row r="102" spans="1:21" x14ac:dyDescent="0.25">
      <c r="A102" t="s">
        <v>364</v>
      </c>
      <c r="B102">
        <v>126.85</v>
      </c>
      <c r="C102">
        <v>9.57</v>
      </c>
      <c r="D102">
        <v>11.84</v>
      </c>
      <c r="E102">
        <v>1.129</v>
      </c>
      <c r="F102" s="33">
        <v>8.6099999999999996E-2</v>
      </c>
      <c r="G102">
        <v>1.198</v>
      </c>
      <c r="H102">
        <v>9.35</v>
      </c>
      <c r="I102">
        <v>5.79</v>
      </c>
      <c r="J102">
        <v>-1.89</v>
      </c>
      <c r="K102">
        <v>8.32</v>
      </c>
      <c r="L102">
        <v>6.76</v>
      </c>
      <c r="M102" s="33">
        <v>0.1951</v>
      </c>
      <c r="N102" s="33">
        <v>0.1179</v>
      </c>
      <c r="O102">
        <v>1.95</v>
      </c>
      <c r="P102" s="33">
        <v>0.2429</v>
      </c>
      <c r="Q102" s="33">
        <v>1.2369000000000001</v>
      </c>
      <c r="R102" s="34">
        <v>102224</v>
      </c>
      <c r="S102" s="34">
        <v>1420180000</v>
      </c>
      <c r="T102">
        <v>5.98</v>
      </c>
      <c r="U102" s="33">
        <v>0.1389</v>
      </c>
    </row>
    <row r="103" spans="1:21" x14ac:dyDescent="0.25">
      <c r="A103" t="s">
        <v>365</v>
      </c>
      <c r="B103">
        <v>29.45</v>
      </c>
      <c r="C103">
        <v>5.85</v>
      </c>
      <c r="D103">
        <v>0.64</v>
      </c>
      <c r="E103">
        <v>0.82399999999999995</v>
      </c>
      <c r="F103" s="33">
        <v>0.15409999999999999</v>
      </c>
      <c r="G103">
        <v>0.45600000000000002</v>
      </c>
      <c r="H103">
        <v>1.68</v>
      </c>
      <c r="I103">
        <v>7.02</v>
      </c>
      <c r="J103">
        <v>2.82</v>
      </c>
      <c r="K103">
        <v>4.6399999999999997</v>
      </c>
      <c r="L103">
        <v>3.51</v>
      </c>
      <c r="M103" s="33">
        <v>0.1174</v>
      </c>
      <c r="N103" s="33">
        <v>0.14069999999999999</v>
      </c>
      <c r="O103">
        <v>2.52</v>
      </c>
      <c r="P103" s="33">
        <v>8.6199999999999999E-2</v>
      </c>
      <c r="Q103" s="33">
        <v>0.10929999999999999</v>
      </c>
      <c r="R103" s="34">
        <v>80768.2</v>
      </c>
      <c r="S103" s="34">
        <v>947333000</v>
      </c>
      <c r="T103">
        <v>0</v>
      </c>
      <c r="U103" s="33">
        <v>0.10879999999999999</v>
      </c>
    </row>
    <row r="104" spans="1:21" x14ac:dyDescent="0.25">
      <c r="A104" t="s">
        <v>4</v>
      </c>
      <c r="B104">
        <v>29.05</v>
      </c>
      <c r="C104">
        <v>5.77</v>
      </c>
      <c r="D104">
        <v>0.63</v>
      </c>
      <c r="E104">
        <v>0.81299999999999994</v>
      </c>
      <c r="F104" s="33">
        <v>0.15620000000000001</v>
      </c>
      <c r="G104">
        <v>0.45</v>
      </c>
      <c r="H104">
        <v>1.66</v>
      </c>
      <c r="I104">
        <v>6.92</v>
      </c>
      <c r="J104">
        <v>2.78</v>
      </c>
      <c r="K104">
        <v>4.54</v>
      </c>
      <c r="L104" s="34">
        <v>3.44</v>
      </c>
      <c r="M104" s="33">
        <v>0.1174</v>
      </c>
      <c r="N104" s="33">
        <v>0.14069999999999999</v>
      </c>
      <c r="O104">
        <v>2.52</v>
      </c>
      <c r="P104" s="33">
        <v>8.6199999999999999E-2</v>
      </c>
      <c r="Q104" s="33">
        <v>0.10929999999999999</v>
      </c>
      <c r="R104" s="34">
        <v>342486</v>
      </c>
      <c r="S104" s="34">
        <v>947333000</v>
      </c>
      <c r="T104">
        <v>0</v>
      </c>
      <c r="U104" s="33">
        <v>0.10879999999999999</v>
      </c>
    </row>
    <row r="105" spans="1:21" x14ac:dyDescent="0.25">
      <c r="A105" t="s">
        <v>366</v>
      </c>
      <c r="B105">
        <v>89</v>
      </c>
      <c r="C105">
        <v>4.66</v>
      </c>
      <c r="D105">
        <v>0.89</v>
      </c>
      <c r="E105">
        <v>0.311</v>
      </c>
      <c r="F105" s="33">
        <v>6.3500000000000001E-2</v>
      </c>
      <c r="G105">
        <v>0.25600000000000001</v>
      </c>
      <c r="H105">
        <v>3.67</v>
      </c>
      <c r="I105">
        <v>3.04</v>
      </c>
      <c r="J105">
        <v>-0.65</v>
      </c>
      <c r="K105">
        <v>6.12</v>
      </c>
      <c r="L105">
        <v>4.6500000000000004</v>
      </c>
      <c r="M105" s="33">
        <v>0.1022</v>
      </c>
      <c r="N105" s="33">
        <v>6.6699999999999995E-2</v>
      </c>
      <c r="O105">
        <v>1.28</v>
      </c>
      <c r="P105" s="33">
        <v>9.6699999999999994E-2</v>
      </c>
      <c r="Q105" s="33">
        <v>0.19059999999999999</v>
      </c>
      <c r="R105" s="34">
        <v>7060.29</v>
      </c>
      <c r="S105" s="34">
        <v>3863830000</v>
      </c>
      <c r="T105">
        <v>1.0900000000000001</v>
      </c>
      <c r="U105" s="33">
        <v>2.5100000000000001E-2</v>
      </c>
    </row>
    <row r="106" spans="1:21" x14ac:dyDescent="0.25">
      <c r="A106" t="s">
        <v>367</v>
      </c>
      <c r="B106">
        <v>98.97</v>
      </c>
      <c r="C106">
        <v>5.18</v>
      </c>
      <c r="D106">
        <v>0.99</v>
      </c>
      <c r="E106">
        <v>0.34599999999999997</v>
      </c>
      <c r="F106" s="33">
        <v>6.2799999999999995E-2</v>
      </c>
      <c r="G106">
        <v>0.28399999999999997</v>
      </c>
      <c r="H106">
        <v>4.08</v>
      </c>
      <c r="I106">
        <v>3.39</v>
      </c>
      <c r="J106">
        <v>-0.72</v>
      </c>
      <c r="K106">
        <v>6.46</v>
      </c>
      <c r="L106">
        <v>4.91</v>
      </c>
      <c r="M106" s="33">
        <v>0.1022</v>
      </c>
      <c r="N106" s="33">
        <v>6.6699999999999995E-2</v>
      </c>
      <c r="O106">
        <v>1.28</v>
      </c>
      <c r="P106" s="33">
        <v>9.6699999999999994E-2</v>
      </c>
      <c r="Q106" s="33">
        <v>0.19059999999999999</v>
      </c>
      <c r="R106" s="34">
        <v>422105</v>
      </c>
      <c r="S106" s="34">
        <v>3863830000</v>
      </c>
      <c r="T106">
        <v>1.0900000000000001</v>
      </c>
      <c r="U106" s="33">
        <v>2.5100000000000001E-2</v>
      </c>
    </row>
    <row r="107" spans="1:21" x14ac:dyDescent="0.25">
      <c r="A107" t="s">
        <v>368</v>
      </c>
      <c r="B107">
        <v>15.27</v>
      </c>
      <c r="C107">
        <v>6.24</v>
      </c>
      <c r="D107">
        <v>1.57</v>
      </c>
      <c r="E107">
        <v>1.0760000000000001</v>
      </c>
      <c r="F107" s="33">
        <v>8.3400000000000002E-2</v>
      </c>
      <c r="G107">
        <v>0.68400000000000005</v>
      </c>
      <c r="H107">
        <v>50.33</v>
      </c>
      <c r="I107">
        <v>6.26</v>
      </c>
      <c r="J107">
        <v>-2.13</v>
      </c>
      <c r="K107">
        <v>7.77</v>
      </c>
      <c r="L107">
        <v>6.47</v>
      </c>
      <c r="M107" s="33">
        <v>0.17180000000000001</v>
      </c>
      <c r="N107" s="33">
        <v>0.17249999999999999</v>
      </c>
      <c r="O107">
        <v>1.06</v>
      </c>
      <c r="P107" s="33">
        <v>0.1241</v>
      </c>
      <c r="Q107" s="33">
        <v>0.25090000000000001</v>
      </c>
      <c r="R107" s="34">
        <v>5326290</v>
      </c>
      <c r="S107" s="34">
        <v>27914500000</v>
      </c>
      <c r="T107">
        <v>0.55000000000000004</v>
      </c>
      <c r="U107" s="33">
        <v>9.9699999999999997E-2</v>
      </c>
    </row>
    <row r="108" spans="1:21" x14ac:dyDescent="0.25">
      <c r="A108" t="s">
        <v>22</v>
      </c>
      <c r="B108">
        <v>10.57</v>
      </c>
      <c r="C108">
        <v>4.32</v>
      </c>
      <c r="D108">
        <v>1.08</v>
      </c>
      <c r="E108">
        <v>0.745</v>
      </c>
      <c r="F108" s="33">
        <v>0.1205</v>
      </c>
      <c r="G108">
        <v>0.47299999999999998</v>
      </c>
      <c r="H108">
        <v>34.840000000000003</v>
      </c>
      <c r="I108">
        <v>4.34</v>
      </c>
      <c r="J108">
        <v>-1.47</v>
      </c>
      <c r="K108">
        <v>5.85</v>
      </c>
      <c r="L108">
        <v>4.8600000000000003</v>
      </c>
      <c r="M108" s="33">
        <v>0.17180000000000001</v>
      </c>
      <c r="N108" s="33">
        <v>0.17249999999999999</v>
      </c>
      <c r="O108">
        <v>1.06</v>
      </c>
      <c r="P108" s="33">
        <v>0.1241</v>
      </c>
      <c r="Q108" s="33">
        <v>0.25090000000000001</v>
      </c>
      <c r="R108" s="34">
        <v>139945000</v>
      </c>
      <c r="S108" s="34">
        <v>27914500000</v>
      </c>
      <c r="T108">
        <v>0.55000000000000004</v>
      </c>
      <c r="U108" s="33">
        <v>9.9699999999999997E-2</v>
      </c>
    </row>
    <row r="109" spans="1:21" x14ac:dyDescent="0.25">
      <c r="A109" t="s">
        <v>369</v>
      </c>
      <c r="B109">
        <v>4.87</v>
      </c>
      <c r="C109">
        <v>7.39</v>
      </c>
      <c r="D109">
        <v>2.61</v>
      </c>
      <c r="E109">
        <v>1.581</v>
      </c>
      <c r="F109" s="33">
        <v>0.17050000000000001</v>
      </c>
      <c r="G109">
        <v>0.75600000000000001</v>
      </c>
      <c r="H109">
        <v>2.89</v>
      </c>
      <c r="I109">
        <v>5.31</v>
      </c>
      <c r="J109">
        <v>-3.18</v>
      </c>
      <c r="K109">
        <v>4.42</v>
      </c>
      <c r="L109">
        <v>3.58</v>
      </c>
      <c r="M109" s="33">
        <v>0.29749999999999999</v>
      </c>
      <c r="N109" s="33">
        <v>0.21379999999999999</v>
      </c>
      <c r="O109">
        <v>2.2400000000000002</v>
      </c>
      <c r="P109" s="33">
        <v>0.26140000000000002</v>
      </c>
      <c r="Q109" s="33">
        <v>0.35299999999999998</v>
      </c>
      <c r="R109" s="34">
        <v>41854400</v>
      </c>
      <c r="S109" s="34">
        <v>10233800000</v>
      </c>
      <c r="T109">
        <v>0.96</v>
      </c>
      <c r="U109" s="33">
        <v>-4.8999999999999998E-3</v>
      </c>
    </row>
    <row r="110" spans="1:21" x14ac:dyDescent="0.25">
      <c r="A110" t="s">
        <v>370</v>
      </c>
      <c r="B110">
        <v>25.8</v>
      </c>
      <c r="C110">
        <v>5.4</v>
      </c>
      <c r="D110">
        <v>0.39</v>
      </c>
      <c r="E110">
        <v>0.23799999999999999</v>
      </c>
      <c r="F110" s="33">
        <v>5.2400000000000002E-2</v>
      </c>
      <c r="G110">
        <v>0.13400000000000001</v>
      </c>
      <c r="H110">
        <v>-0.57999999999999996</v>
      </c>
      <c r="I110">
        <v>1.65</v>
      </c>
      <c r="J110">
        <v>-0.3</v>
      </c>
      <c r="K110">
        <v>6.14</v>
      </c>
      <c r="L110">
        <v>3.95</v>
      </c>
      <c r="M110" s="33">
        <v>0.1439</v>
      </c>
      <c r="N110" s="33">
        <v>4.3999999999999997E-2</v>
      </c>
      <c r="O110">
        <v>0.48</v>
      </c>
      <c r="P110" s="33">
        <v>9.0300000000000005E-2</v>
      </c>
      <c r="Q110" s="33">
        <v>7.1900000000000006E-2</v>
      </c>
      <c r="R110" s="34">
        <v>3729.81</v>
      </c>
      <c r="S110" s="34">
        <v>5174440000</v>
      </c>
      <c r="T110">
        <v>1.1100000000000001</v>
      </c>
      <c r="U110" s="33">
        <v>6.7100000000000007E-2</v>
      </c>
    </row>
    <row r="111" spans="1:21" x14ac:dyDescent="0.25">
      <c r="A111" t="s">
        <v>194</v>
      </c>
      <c r="B111">
        <v>25.4</v>
      </c>
      <c r="C111">
        <v>5.32</v>
      </c>
      <c r="D111">
        <v>0.38</v>
      </c>
      <c r="E111">
        <v>0.23400000000000001</v>
      </c>
      <c r="F111" s="33">
        <v>5.3199999999999997E-2</v>
      </c>
      <c r="G111">
        <v>0.13200000000000001</v>
      </c>
      <c r="H111">
        <v>-0.56999999999999995</v>
      </c>
      <c r="I111">
        <v>1.63</v>
      </c>
      <c r="J111">
        <v>-0.3</v>
      </c>
      <c r="K111">
        <v>6.12</v>
      </c>
      <c r="L111">
        <v>3.93</v>
      </c>
      <c r="M111" s="33">
        <v>0.1439</v>
      </c>
      <c r="N111" s="33">
        <v>4.3999999999999997E-2</v>
      </c>
      <c r="O111">
        <v>0.48</v>
      </c>
      <c r="P111" s="33">
        <v>9.0300000000000005E-2</v>
      </c>
      <c r="Q111" s="33">
        <v>7.1900000000000006E-2</v>
      </c>
      <c r="R111" s="34">
        <v>226862</v>
      </c>
      <c r="S111" s="34">
        <v>5174440000</v>
      </c>
      <c r="T111">
        <v>1.1100000000000001</v>
      </c>
      <c r="U111" s="33">
        <v>6.7100000000000007E-2</v>
      </c>
    </row>
    <row r="112" spans="1:21" x14ac:dyDescent="0.25">
      <c r="A112" t="s">
        <v>218</v>
      </c>
      <c r="B112">
        <v>2.79</v>
      </c>
      <c r="C112">
        <v>5.32</v>
      </c>
      <c r="D112">
        <v>0.42</v>
      </c>
      <c r="E112">
        <v>0.80500000000000005</v>
      </c>
      <c r="F112" s="33">
        <v>2.3900000000000001E-2</v>
      </c>
      <c r="G112">
        <v>0.216</v>
      </c>
      <c r="H112">
        <v>4.0199999999999996</v>
      </c>
      <c r="I112">
        <v>2.52</v>
      </c>
      <c r="J112">
        <v>-0.89</v>
      </c>
      <c r="K112">
        <v>5.15</v>
      </c>
      <c r="L112">
        <v>3.86</v>
      </c>
      <c r="M112" s="33">
        <v>0.31909999999999999</v>
      </c>
      <c r="N112" s="33">
        <v>0.1676</v>
      </c>
      <c r="O112">
        <v>1.38</v>
      </c>
      <c r="P112" s="33">
        <v>9.5500000000000002E-2</v>
      </c>
      <c r="Q112" s="33">
        <v>7.9000000000000001E-2</v>
      </c>
      <c r="R112" s="34">
        <v>143584000</v>
      </c>
      <c r="S112" s="34">
        <v>12444500000</v>
      </c>
      <c r="T112">
        <v>0.55000000000000004</v>
      </c>
      <c r="U112" s="33">
        <v>8.7900000000000006E-2</v>
      </c>
    </row>
    <row r="113" spans="1:21" x14ac:dyDescent="0.25">
      <c r="A113" t="s">
        <v>103</v>
      </c>
      <c r="B113">
        <v>40.5</v>
      </c>
      <c r="C113">
        <v>8.75</v>
      </c>
      <c r="D113">
        <v>2.1</v>
      </c>
      <c r="E113">
        <v>1.0820000000000001</v>
      </c>
      <c r="F113" s="33">
        <v>6.9000000000000006E-2</v>
      </c>
      <c r="G113">
        <v>0.59299999999999997</v>
      </c>
      <c r="H113">
        <v>-187.38</v>
      </c>
      <c r="I113">
        <v>4.22</v>
      </c>
      <c r="J113">
        <v>-1.23</v>
      </c>
      <c r="K113">
        <v>6.41</v>
      </c>
      <c r="L113">
        <v>5.43</v>
      </c>
      <c r="M113" s="33">
        <v>0.25650000000000001</v>
      </c>
      <c r="N113" s="33">
        <v>0.13039999999999999</v>
      </c>
      <c r="O113">
        <v>0.99</v>
      </c>
      <c r="P113" s="33">
        <v>0.15609999999999999</v>
      </c>
      <c r="Q113" s="33">
        <v>0.2397</v>
      </c>
      <c r="R113" s="34">
        <v>54749800</v>
      </c>
      <c r="S113" s="34">
        <v>22249300000</v>
      </c>
      <c r="T113">
        <v>1.27</v>
      </c>
      <c r="U113" s="33">
        <v>6.1699999999999998E-2</v>
      </c>
    </row>
    <row r="114" spans="1:21" x14ac:dyDescent="0.25">
      <c r="A114" t="s">
        <v>93</v>
      </c>
      <c r="B114">
        <v>11.56</v>
      </c>
      <c r="C114">
        <v>11.71</v>
      </c>
      <c r="D114">
        <v>1.31</v>
      </c>
      <c r="E114">
        <v>1.4910000000000001</v>
      </c>
      <c r="F114" s="33">
        <v>6.4199999999999993E-2</v>
      </c>
      <c r="G114">
        <v>0.57199999999999995</v>
      </c>
      <c r="H114">
        <v>6.55</v>
      </c>
      <c r="I114">
        <v>8.3000000000000007</v>
      </c>
      <c r="J114">
        <v>-1.93</v>
      </c>
      <c r="K114">
        <v>11.37</v>
      </c>
      <c r="L114">
        <v>8.42</v>
      </c>
      <c r="M114" s="33">
        <v>0.17960000000000001</v>
      </c>
      <c r="N114" s="33">
        <v>0.12670000000000001</v>
      </c>
      <c r="O114">
        <v>1.48</v>
      </c>
      <c r="P114" s="33">
        <v>8.0100000000000005E-2</v>
      </c>
      <c r="Q114" s="33">
        <v>0.112</v>
      </c>
      <c r="R114" s="34">
        <v>73715100</v>
      </c>
      <c r="S114" s="34">
        <v>26272200000</v>
      </c>
      <c r="T114">
        <v>0.72</v>
      </c>
      <c r="U114" s="33">
        <v>2.06E-2</v>
      </c>
    </row>
    <row r="115" spans="1:21" x14ac:dyDescent="0.25">
      <c r="A115" t="s">
        <v>371</v>
      </c>
      <c r="B115">
        <v>12.85</v>
      </c>
      <c r="C115">
        <v>13.02</v>
      </c>
      <c r="D115">
        <v>1.46</v>
      </c>
      <c r="E115">
        <v>1.657</v>
      </c>
      <c r="F115" s="33">
        <v>6.3500000000000001E-2</v>
      </c>
      <c r="G115">
        <v>0.63600000000000001</v>
      </c>
      <c r="H115">
        <v>7.28</v>
      </c>
      <c r="I115">
        <v>9.23</v>
      </c>
      <c r="J115">
        <v>-2.15</v>
      </c>
      <c r="K115">
        <v>12.3</v>
      </c>
      <c r="L115">
        <v>9.11</v>
      </c>
      <c r="M115" s="33">
        <v>0.17960000000000001</v>
      </c>
      <c r="N115" s="33">
        <v>0.12670000000000001</v>
      </c>
      <c r="O115">
        <v>1.48</v>
      </c>
      <c r="P115" s="33">
        <v>8.0100000000000005E-2</v>
      </c>
      <c r="Q115" s="33">
        <v>0.112</v>
      </c>
      <c r="R115" s="34">
        <v>5304</v>
      </c>
      <c r="S115" s="34">
        <v>26272200000</v>
      </c>
      <c r="T115">
        <v>0.72</v>
      </c>
      <c r="U115" s="33">
        <v>2.06E-2</v>
      </c>
    </row>
    <row r="116" spans="1:21" x14ac:dyDescent="0.25">
      <c r="A116" t="s">
        <v>19</v>
      </c>
      <c r="B116">
        <v>12.39</v>
      </c>
      <c r="C116">
        <v>12.55</v>
      </c>
      <c r="D116">
        <v>1.41</v>
      </c>
      <c r="E116">
        <v>1.5980000000000001</v>
      </c>
      <c r="F116" s="33">
        <v>6.59E-2</v>
      </c>
      <c r="G116">
        <v>0.61299999999999999</v>
      </c>
      <c r="H116">
        <v>7.02</v>
      </c>
      <c r="I116">
        <v>8.9</v>
      </c>
      <c r="J116">
        <v>-2.0699999999999998</v>
      </c>
      <c r="K116">
        <v>11.97</v>
      </c>
      <c r="L116">
        <v>8.86</v>
      </c>
      <c r="M116" s="33">
        <v>0.17960000000000001</v>
      </c>
      <c r="N116" s="33">
        <v>0.12670000000000001</v>
      </c>
      <c r="O116">
        <v>1.48</v>
      </c>
      <c r="P116" s="33">
        <v>8.0100000000000005E-2</v>
      </c>
      <c r="Q116" s="33">
        <v>0.112</v>
      </c>
      <c r="R116" s="34">
        <v>188451000</v>
      </c>
      <c r="S116" s="34">
        <v>26272200000</v>
      </c>
      <c r="T116">
        <v>0.72</v>
      </c>
      <c r="U116" s="33">
        <v>2.06E-2</v>
      </c>
    </row>
    <row r="117" spans="1:21" x14ac:dyDescent="0.25">
      <c r="A117" t="s">
        <v>34</v>
      </c>
      <c r="B117">
        <v>8.48</v>
      </c>
      <c r="C117">
        <v>9.2200000000000006</v>
      </c>
      <c r="D117">
        <v>0.85</v>
      </c>
      <c r="E117">
        <v>0.153</v>
      </c>
      <c r="F117" s="33">
        <v>1.12E-2</v>
      </c>
      <c r="G117">
        <v>0.183</v>
      </c>
      <c r="H117" s="34">
        <v>2554.9499999999998</v>
      </c>
      <c r="I117">
        <v>3.78</v>
      </c>
      <c r="J117">
        <v>-0.67</v>
      </c>
      <c r="K117">
        <v>7.91</v>
      </c>
      <c r="L117">
        <v>5.72</v>
      </c>
      <c r="M117" s="33">
        <v>4.0399999999999998E-2</v>
      </c>
      <c r="N117" s="33">
        <v>1.8200000000000001E-2</v>
      </c>
      <c r="O117">
        <v>1</v>
      </c>
      <c r="P117" s="33">
        <v>6.3700000000000007E-2</v>
      </c>
      <c r="Q117" s="33">
        <v>9.2100000000000001E-2</v>
      </c>
      <c r="R117" s="34">
        <v>222761000</v>
      </c>
      <c r="S117" s="34">
        <v>21042000000</v>
      </c>
      <c r="T117">
        <v>1.19</v>
      </c>
      <c r="U117" s="33">
        <v>0.13439999999999999</v>
      </c>
    </row>
    <row r="118" spans="1:21" x14ac:dyDescent="0.25">
      <c r="A118" t="s">
        <v>372</v>
      </c>
      <c r="B118">
        <v>21.5</v>
      </c>
      <c r="C118">
        <v>-5.31</v>
      </c>
      <c r="D118">
        <v>1.06</v>
      </c>
      <c r="E118">
        <v>0.876</v>
      </c>
      <c r="F118" s="33">
        <v>0</v>
      </c>
      <c r="G118">
        <v>0.71599999999999997</v>
      </c>
      <c r="H118" s="34">
        <v>1.7</v>
      </c>
      <c r="I118">
        <v>-16.829999999999998</v>
      </c>
      <c r="J118">
        <v>2.42</v>
      </c>
      <c r="K118">
        <v>-13.32</v>
      </c>
      <c r="L118">
        <v>-71.87</v>
      </c>
      <c r="M118" s="33">
        <v>-5.21E-2</v>
      </c>
      <c r="N118" s="33">
        <v>-0.1651</v>
      </c>
      <c r="O118">
        <v>3.13</v>
      </c>
      <c r="P118" s="33">
        <v>-5.8700000000000002E-2</v>
      </c>
      <c r="Q118" s="33">
        <v>-0.1993</v>
      </c>
      <c r="R118" s="34">
        <v>305.91000000000003</v>
      </c>
      <c r="S118" s="34">
        <v>589725000</v>
      </c>
      <c r="T118">
        <v>0.02</v>
      </c>
      <c r="U118" s="33">
        <v>-0.08</v>
      </c>
    </row>
    <row r="119" spans="1:21" x14ac:dyDescent="0.25">
      <c r="A119" t="s">
        <v>211</v>
      </c>
      <c r="B119">
        <v>19.14</v>
      </c>
      <c r="C119">
        <v>-4.7300000000000004</v>
      </c>
      <c r="D119">
        <v>0.94</v>
      </c>
      <c r="E119">
        <v>0.78</v>
      </c>
      <c r="F119" s="33">
        <v>0</v>
      </c>
      <c r="G119">
        <v>0.63700000000000001</v>
      </c>
      <c r="H119" s="34">
        <v>1.51</v>
      </c>
      <c r="I119">
        <v>-14.98</v>
      </c>
      <c r="J119">
        <v>2.15</v>
      </c>
      <c r="K119">
        <v>-11.48</v>
      </c>
      <c r="L119">
        <v>-61.91</v>
      </c>
      <c r="M119" s="33">
        <v>-5.21E-2</v>
      </c>
      <c r="N119" s="33">
        <v>-0.1651</v>
      </c>
      <c r="O119">
        <v>3.13</v>
      </c>
      <c r="P119" s="33">
        <v>-5.8700000000000002E-2</v>
      </c>
      <c r="Q119" s="33">
        <v>-0.1993</v>
      </c>
      <c r="R119" s="34">
        <v>39321.5</v>
      </c>
      <c r="S119" s="34">
        <v>589725000</v>
      </c>
      <c r="T119">
        <v>0.02</v>
      </c>
      <c r="U119" s="33">
        <v>-0.08</v>
      </c>
    </row>
    <row r="120" spans="1:21" x14ac:dyDescent="0.25">
      <c r="A120" t="s">
        <v>373</v>
      </c>
      <c r="B120">
        <v>19.61</v>
      </c>
      <c r="C120">
        <v>-4.84</v>
      </c>
      <c r="D120">
        <v>0.96</v>
      </c>
      <c r="E120">
        <v>0.79900000000000004</v>
      </c>
      <c r="F120" s="33">
        <v>0</v>
      </c>
      <c r="G120">
        <v>0.65300000000000002</v>
      </c>
      <c r="H120">
        <v>1.55</v>
      </c>
      <c r="I120">
        <v>-15.35</v>
      </c>
      <c r="J120">
        <v>2.2000000000000002</v>
      </c>
      <c r="K120">
        <v>-11.85</v>
      </c>
      <c r="L120">
        <v>-63.89</v>
      </c>
      <c r="M120" s="33">
        <v>-5.21E-2</v>
      </c>
      <c r="N120" s="33">
        <v>-0.1651</v>
      </c>
      <c r="O120">
        <v>3.13</v>
      </c>
      <c r="P120" s="33">
        <v>-5.8700000000000002E-2</v>
      </c>
      <c r="Q120" s="33">
        <v>-0.1993</v>
      </c>
      <c r="R120" s="34">
        <v>4108.5</v>
      </c>
      <c r="S120" s="34">
        <v>589725000</v>
      </c>
      <c r="T120">
        <v>0.02</v>
      </c>
      <c r="U120" s="33">
        <v>-0.08</v>
      </c>
    </row>
    <row r="121" spans="1:21" x14ac:dyDescent="0.25">
      <c r="A121" t="s">
        <v>246</v>
      </c>
      <c r="B121">
        <v>8.1199999999999992</v>
      </c>
      <c r="C121">
        <v>-1.38</v>
      </c>
      <c r="D121">
        <v>1.92</v>
      </c>
      <c r="E121">
        <v>0.34599999999999997</v>
      </c>
      <c r="F121" s="33">
        <v>0</v>
      </c>
      <c r="G121">
        <v>0.11899999999999999</v>
      </c>
      <c r="H121">
        <v>1.02</v>
      </c>
      <c r="I121">
        <v>1.64</v>
      </c>
      <c r="J121">
        <v>-0.23</v>
      </c>
      <c r="K121">
        <v>7.31</v>
      </c>
      <c r="L121">
        <v>4.13</v>
      </c>
      <c r="M121" s="33">
        <v>0.21060000000000001</v>
      </c>
      <c r="N121" s="33">
        <v>-0.23669999999999999</v>
      </c>
      <c r="O121">
        <v>2.13</v>
      </c>
      <c r="P121" s="33">
        <v>8.48E-2</v>
      </c>
      <c r="Q121" s="33">
        <v>-1.3964000000000001</v>
      </c>
      <c r="R121" s="34">
        <v>134784000</v>
      </c>
      <c r="S121" s="34">
        <v>7891660000</v>
      </c>
      <c r="T121">
        <v>8.5</v>
      </c>
      <c r="U121" s="33">
        <v>0.28720000000000001</v>
      </c>
    </row>
    <row r="122" spans="1:21" x14ac:dyDescent="0.25">
      <c r="A122" t="s">
        <v>157</v>
      </c>
      <c r="B122">
        <v>5.2</v>
      </c>
      <c r="C122">
        <v>9.8699999999999992</v>
      </c>
      <c r="D122">
        <v>1.22</v>
      </c>
      <c r="E122">
        <v>0.72099999999999997</v>
      </c>
      <c r="F122" s="33">
        <v>7.2300000000000003E-2</v>
      </c>
      <c r="G122">
        <v>0.39400000000000002</v>
      </c>
      <c r="H122">
        <v>6.7</v>
      </c>
      <c r="I122">
        <v>3.82</v>
      </c>
      <c r="J122">
        <v>-0.88</v>
      </c>
      <c r="K122">
        <v>4.8499999999999996</v>
      </c>
      <c r="L122">
        <v>3.19</v>
      </c>
      <c r="M122" s="33">
        <v>0.18859999999999999</v>
      </c>
      <c r="N122" s="33">
        <v>7.2999999999999995E-2</v>
      </c>
      <c r="O122">
        <v>1.35</v>
      </c>
      <c r="P122" s="33">
        <v>0.12790000000000001</v>
      </c>
      <c r="Q122" s="33">
        <v>0.1234</v>
      </c>
      <c r="R122" s="34">
        <v>2765440</v>
      </c>
      <c r="S122" s="34">
        <v>1557200000</v>
      </c>
      <c r="T122">
        <v>0.85</v>
      </c>
      <c r="U122" s="33">
        <v>0.1042</v>
      </c>
    </row>
    <row r="123" spans="1:21" x14ac:dyDescent="0.25">
      <c r="A123" t="s">
        <v>128</v>
      </c>
      <c r="B123">
        <v>26.52</v>
      </c>
      <c r="C123">
        <v>7.23</v>
      </c>
      <c r="D123">
        <v>1.22</v>
      </c>
      <c r="E123">
        <v>1.2490000000000001</v>
      </c>
      <c r="F123" s="33">
        <v>6.0999999999999999E-2</v>
      </c>
      <c r="G123">
        <v>0.63300000000000001</v>
      </c>
      <c r="H123">
        <v>22.86</v>
      </c>
      <c r="I123">
        <v>4.47</v>
      </c>
      <c r="J123">
        <v>-1.93</v>
      </c>
      <c r="K123">
        <v>6.82</v>
      </c>
      <c r="L123">
        <v>4.9800000000000004</v>
      </c>
      <c r="M123" s="33">
        <v>0.27900000000000003</v>
      </c>
      <c r="N123" s="33">
        <v>0.1726</v>
      </c>
      <c r="O123">
        <v>1.22</v>
      </c>
      <c r="P123" s="33">
        <v>0.1515</v>
      </c>
      <c r="Q123" s="33">
        <v>0.16800000000000001</v>
      </c>
      <c r="R123" s="34">
        <v>49307800</v>
      </c>
      <c r="S123" s="34">
        <v>8296170000</v>
      </c>
      <c r="T123">
        <v>0.72</v>
      </c>
      <c r="U123" s="33">
        <v>0.1081</v>
      </c>
    </row>
    <row r="124" spans="1:21" x14ac:dyDescent="0.25">
      <c r="A124" t="s">
        <v>238</v>
      </c>
      <c r="B124">
        <v>7.94</v>
      </c>
      <c r="C124">
        <v>-4.0199999999999996</v>
      </c>
      <c r="D124">
        <v>0.8</v>
      </c>
      <c r="E124">
        <v>0.23499999999999999</v>
      </c>
      <c r="F124" s="33">
        <v>6.93E-2</v>
      </c>
      <c r="G124">
        <v>0.106</v>
      </c>
      <c r="H124">
        <v>0.76</v>
      </c>
      <c r="I124">
        <v>1.8</v>
      </c>
      <c r="J124">
        <v>-0.22</v>
      </c>
      <c r="K124">
        <v>7.35</v>
      </c>
      <c r="L124">
        <v>4.42</v>
      </c>
      <c r="M124" s="33">
        <v>0.1305</v>
      </c>
      <c r="N124" s="33">
        <v>-3.9899999999999998E-2</v>
      </c>
      <c r="O124">
        <v>1.64</v>
      </c>
      <c r="P124" s="33">
        <v>8.1000000000000003E-2</v>
      </c>
      <c r="Q124" s="33">
        <v>-0.20030000000000001</v>
      </c>
      <c r="R124" s="34">
        <v>87893100</v>
      </c>
      <c r="S124" s="34">
        <v>13083900000</v>
      </c>
      <c r="T124">
        <v>4.07</v>
      </c>
      <c r="U124" s="33">
        <v>3.2500000000000001E-2</v>
      </c>
    </row>
    <row r="125" spans="1:21" x14ac:dyDescent="0.25">
      <c r="A125" t="s">
        <v>31</v>
      </c>
      <c r="B125">
        <v>17.850000000000001</v>
      </c>
      <c r="C125">
        <v>8.17</v>
      </c>
      <c r="D125">
        <v>1.51</v>
      </c>
      <c r="E125">
        <v>1.288</v>
      </c>
      <c r="F125" s="33">
        <v>6.2399999999999997E-2</v>
      </c>
      <c r="G125">
        <v>1.0529999999999999</v>
      </c>
      <c r="H125">
        <v>17.03</v>
      </c>
      <c r="I125">
        <v>6.01</v>
      </c>
      <c r="J125">
        <v>-120.83</v>
      </c>
      <c r="K125">
        <v>5.89</v>
      </c>
      <c r="L125">
        <v>3.93</v>
      </c>
      <c r="M125" s="33">
        <v>0.2142</v>
      </c>
      <c r="N125" s="33">
        <v>0.1578</v>
      </c>
      <c r="O125">
        <v>1.27</v>
      </c>
      <c r="P125" s="33">
        <v>0.21060000000000001</v>
      </c>
      <c r="Q125" s="33">
        <v>0.1847</v>
      </c>
      <c r="R125" s="34">
        <v>651031</v>
      </c>
      <c r="S125" s="34">
        <v>494617000</v>
      </c>
      <c r="T125">
        <v>0.13</v>
      </c>
      <c r="U125" s="33">
        <v>4.7100000000000003E-2</v>
      </c>
    </row>
    <row r="126" spans="1:21" x14ac:dyDescent="0.25">
      <c r="A126" t="s">
        <v>516</v>
      </c>
      <c r="B126">
        <v>1.19</v>
      </c>
      <c r="C126">
        <v>-0.2</v>
      </c>
      <c r="D126">
        <v>0.3</v>
      </c>
      <c r="E126">
        <v>8.1000000000000003E-2</v>
      </c>
      <c r="F126" s="33">
        <v>0</v>
      </c>
      <c r="G126">
        <v>2.9000000000000001E-2</v>
      </c>
      <c r="H126">
        <v>-0.12</v>
      </c>
      <c r="I126">
        <v>-0.59</v>
      </c>
      <c r="J126">
        <v>-0.04</v>
      </c>
      <c r="K126">
        <v>-3.5</v>
      </c>
      <c r="L126">
        <v>-17.82</v>
      </c>
      <c r="M126" s="33">
        <v>-0.1366</v>
      </c>
      <c r="N126" s="33">
        <v>-0.41139999999999999</v>
      </c>
      <c r="O126">
        <v>0.38</v>
      </c>
      <c r="P126" s="33">
        <v>-5.28E-2</v>
      </c>
      <c r="Q126" s="33">
        <v>-1.5024</v>
      </c>
      <c r="R126" s="34">
        <v>17971.400000000001</v>
      </c>
      <c r="S126" s="34">
        <v>107351000</v>
      </c>
      <c r="T126">
        <v>2.09</v>
      </c>
      <c r="U126" s="33">
        <v>-0.25879999999999997</v>
      </c>
    </row>
    <row r="127" spans="1:21" x14ac:dyDescent="0.25">
      <c r="A127" t="s">
        <v>374</v>
      </c>
      <c r="B127">
        <v>41.79</v>
      </c>
      <c r="C127">
        <v>2.16</v>
      </c>
      <c r="D127">
        <v>13.98</v>
      </c>
      <c r="E127">
        <v>0.36399999999999999</v>
      </c>
      <c r="F127" s="33">
        <v>0</v>
      </c>
      <c r="G127">
        <v>0.36599999999999999</v>
      </c>
      <c r="H127">
        <v>1.2</v>
      </c>
      <c r="I127">
        <v>3.05</v>
      </c>
      <c r="J127">
        <v>-1.1499999999999999</v>
      </c>
      <c r="K127">
        <v>7.42</v>
      </c>
      <c r="L127">
        <v>6.03</v>
      </c>
      <c r="M127" s="33">
        <v>0.11940000000000001</v>
      </c>
      <c r="N127" s="33">
        <v>0.1686</v>
      </c>
      <c r="O127">
        <v>1.87</v>
      </c>
      <c r="P127" s="33">
        <v>0.1578</v>
      </c>
      <c r="Q127" s="33">
        <v>6.4744000000000002</v>
      </c>
      <c r="R127" s="34">
        <v>193.31</v>
      </c>
      <c r="S127" s="34">
        <v>18555000</v>
      </c>
      <c r="T127">
        <v>23.99</v>
      </c>
      <c r="U127" s="33">
        <v>0.13420000000000001</v>
      </c>
    </row>
    <row r="128" spans="1:21" x14ac:dyDescent="0.25">
      <c r="A128" t="s">
        <v>375</v>
      </c>
      <c r="B128">
        <v>37.880000000000003</v>
      </c>
      <c r="C128">
        <v>1.96</v>
      </c>
      <c r="D128">
        <v>12.67</v>
      </c>
      <c r="E128">
        <v>0.33</v>
      </c>
      <c r="F128" s="33">
        <v>0</v>
      </c>
      <c r="G128">
        <v>0.33200000000000002</v>
      </c>
      <c r="H128">
        <v>1.0900000000000001</v>
      </c>
      <c r="I128">
        <v>2.76</v>
      </c>
      <c r="J128">
        <v>-1.04</v>
      </c>
      <c r="K128">
        <v>7.13</v>
      </c>
      <c r="L128">
        <v>5.79</v>
      </c>
      <c r="M128" s="33">
        <v>0.11940000000000001</v>
      </c>
      <c r="N128" s="33">
        <v>0.1686</v>
      </c>
      <c r="O128">
        <v>1.87</v>
      </c>
      <c r="P128" s="33">
        <v>0.1578</v>
      </c>
      <c r="Q128" s="33">
        <v>6.4744000000000002</v>
      </c>
      <c r="R128" s="34">
        <v>13757.8</v>
      </c>
      <c r="S128" s="34">
        <v>18555000</v>
      </c>
      <c r="T128">
        <v>23.99</v>
      </c>
      <c r="U128" s="33">
        <v>0.13420000000000001</v>
      </c>
    </row>
    <row r="129" spans="1:21" x14ac:dyDescent="0.25">
      <c r="A129" t="s">
        <v>376</v>
      </c>
      <c r="B129">
        <v>4.29</v>
      </c>
      <c r="C129">
        <v>-0.24</v>
      </c>
      <c r="D129">
        <v>0.23</v>
      </c>
      <c r="E129">
        <v>0.30299999999999999</v>
      </c>
      <c r="F129" s="33">
        <v>0</v>
      </c>
      <c r="G129">
        <v>5.0999999999999997E-2</v>
      </c>
      <c r="H129">
        <v>-0.14000000000000001</v>
      </c>
      <c r="I129">
        <v>-0.44</v>
      </c>
      <c r="J129">
        <v>-0.08</v>
      </c>
      <c r="K129">
        <v>-3.53</v>
      </c>
      <c r="L129">
        <v>-4.16</v>
      </c>
      <c r="M129" s="33">
        <v>-0.69220000000000004</v>
      </c>
      <c r="N129" s="33">
        <v>-1.246</v>
      </c>
      <c r="O129">
        <v>0.3</v>
      </c>
      <c r="P129" s="33">
        <v>-0.13220000000000001</v>
      </c>
      <c r="Q129" s="33">
        <v>-0.93740000000000001</v>
      </c>
      <c r="R129" s="34">
        <v>241.71</v>
      </c>
      <c r="S129" s="34">
        <v>130725000</v>
      </c>
      <c r="T129">
        <v>1.66</v>
      </c>
      <c r="U129" s="33">
        <v>-0.34389999999999998</v>
      </c>
    </row>
    <row r="130" spans="1:21" x14ac:dyDescent="0.25">
      <c r="A130" t="s">
        <v>377</v>
      </c>
      <c r="B130">
        <v>2.4</v>
      </c>
      <c r="C130">
        <v>-0.14000000000000001</v>
      </c>
      <c r="D130">
        <v>0.13</v>
      </c>
      <c r="E130">
        <v>0.17</v>
      </c>
      <c r="F130" s="33">
        <v>0</v>
      </c>
      <c r="G130">
        <v>2.8000000000000001E-2</v>
      </c>
      <c r="H130">
        <v>-0.08</v>
      </c>
      <c r="I130">
        <v>-0.25</v>
      </c>
      <c r="J130">
        <v>-0.05</v>
      </c>
      <c r="K130">
        <v>-3.33</v>
      </c>
      <c r="L130">
        <v>-3.93</v>
      </c>
      <c r="M130" s="33">
        <v>-0.69220000000000004</v>
      </c>
      <c r="N130" s="33">
        <v>-1.246</v>
      </c>
      <c r="O130">
        <v>0.3</v>
      </c>
      <c r="P130" s="33">
        <v>-0.13220000000000001</v>
      </c>
      <c r="Q130" s="33">
        <v>-0.93740000000000001</v>
      </c>
      <c r="R130" s="34">
        <v>3507.5</v>
      </c>
      <c r="S130" s="34">
        <v>130725000</v>
      </c>
      <c r="T130">
        <v>1.66</v>
      </c>
      <c r="U130" s="33">
        <v>-0.34389999999999998</v>
      </c>
    </row>
    <row r="131" spans="1:21" x14ac:dyDescent="0.25">
      <c r="A131" t="s">
        <v>114</v>
      </c>
      <c r="B131">
        <v>29.09</v>
      </c>
      <c r="C131">
        <v>11.76</v>
      </c>
      <c r="D131">
        <v>7.49</v>
      </c>
      <c r="E131">
        <v>1.972</v>
      </c>
      <c r="F131" s="33">
        <v>4.1799999999999997E-2</v>
      </c>
      <c r="G131">
        <v>1.7430000000000001</v>
      </c>
      <c r="H131">
        <v>4.99</v>
      </c>
      <c r="I131">
        <v>8.36</v>
      </c>
      <c r="J131">
        <v>-18.420000000000002</v>
      </c>
      <c r="K131">
        <v>8.1</v>
      </c>
      <c r="L131">
        <v>7.85</v>
      </c>
      <c r="M131" s="33">
        <v>0.2359</v>
      </c>
      <c r="N131" s="33">
        <v>0.18079999999999999</v>
      </c>
      <c r="O131">
        <v>2.2599999999999998</v>
      </c>
      <c r="P131" s="33">
        <v>0.33079999999999998</v>
      </c>
      <c r="Q131" s="33">
        <v>0.63680000000000003</v>
      </c>
      <c r="R131" s="34">
        <v>69755100</v>
      </c>
      <c r="S131" s="34">
        <v>1133950000</v>
      </c>
      <c r="T131">
        <v>1.1299999999999999</v>
      </c>
      <c r="U131" s="33">
        <v>0.34849999999999998</v>
      </c>
    </row>
    <row r="132" spans="1:21" x14ac:dyDescent="0.25">
      <c r="A132" t="s">
        <v>71</v>
      </c>
      <c r="B132">
        <v>2.31</v>
      </c>
      <c r="C132">
        <v>-15.89</v>
      </c>
      <c r="D132">
        <v>2.34</v>
      </c>
      <c r="E132">
        <v>0.84099999999999997</v>
      </c>
      <c r="F132" s="33">
        <v>0</v>
      </c>
      <c r="G132">
        <v>0.32500000000000001</v>
      </c>
      <c r="H132">
        <v>-4.01</v>
      </c>
      <c r="I132">
        <v>10.57</v>
      </c>
      <c r="J132">
        <v>-1.1499999999999999</v>
      </c>
      <c r="K132">
        <v>12</v>
      </c>
      <c r="L132">
        <v>4.0599999999999996</v>
      </c>
      <c r="M132" s="33">
        <v>7.9600000000000004E-2</v>
      </c>
      <c r="N132" s="33">
        <v>-5.2900000000000003E-2</v>
      </c>
      <c r="O132">
        <v>0.88</v>
      </c>
      <c r="P132" s="33">
        <v>4.1700000000000001E-2</v>
      </c>
      <c r="Q132" s="33">
        <v>-0.1472</v>
      </c>
      <c r="R132" s="34">
        <v>35315400</v>
      </c>
      <c r="S132" s="34">
        <v>519227000</v>
      </c>
      <c r="T132">
        <v>1.0900000000000001</v>
      </c>
      <c r="U132" s="33">
        <v>0.35599999999999998</v>
      </c>
    </row>
    <row r="133" spans="1:21" x14ac:dyDescent="0.25">
      <c r="A133" t="s">
        <v>56</v>
      </c>
      <c r="B133">
        <v>14.6</v>
      </c>
      <c r="C133">
        <v>11.06</v>
      </c>
      <c r="D133">
        <v>3.12</v>
      </c>
      <c r="E133">
        <v>0</v>
      </c>
      <c r="F133" s="33">
        <v>7.85E-2</v>
      </c>
      <c r="G133">
        <v>3.073</v>
      </c>
      <c r="H133">
        <v>24.13</v>
      </c>
      <c r="I133">
        <v>-341.96</v>
      </c>
      <c r="J133">
        <v>24.18</v>
      </c>
      <c r="K133">
        <v>-332.55</v>
      </c>
      <c r="L133">
        <v>-332.57</v>
      </c>
      <c r="M133" s="33">
        <v>0</v>
      </c>
      <c r="N133" s="33">
        <v>0</v>
      </c>
      <c r="O133">
        <v>9.32</v>
      </c>
      <c r="P133" s="33">
        <v>-9.7999999999999997E-3</v>
      </c>
      <c r="Q133" s="33">
        <v>0.28220000000000001</v>
      </c>
      <c r="R133" s="34">
        <v>74684200</v>
      </c>
      <c r="S133" s="34">
        <v>14032600000</v>
      </c>
      <c r="T133">
        <v>0</v>
      </c>
      <c r="U133" s="33">
        <v>0</v>
      </c>
    </row>
    <row r="134" spans="1:21" x14ac:dyDescent="0.25">
      <c r="A134" t="s">
        <v>55</v>
      </c>
      <c r="B134">
        <v>24.4</v>
      </c>
      <c r="C134">
        <v>5.48</v>
      </c>
      <c r="D134">
        <v>1</v>
      </c>
      <c r="E134">
        <v>1.123</v>
      </c>
      <c r="F134" s="33">
        <v>4.3799999999999999E-2</v>
      </c>
      <c r="G134">
        <v>0.42899999999999999</v>
      </c>
      <c r="H134">
        <v>1.08</v>
      </c>
      <c r="I134">
        <v>6.12</v>
      </c>
      <c r="J134">
        <v>9.82</v>
      </c>
      <c r="K134">
        <v>8.08</v>
      </c>
      <c r="L134">
        <v>7.66</v>
      </c>
      <c r="M134" s="33">
        <v>0.18360000000000001</v>
      </c>
      <c r="N134" s="33">
        <v>0.17449999999999999</v>
      </c>
      <c r="O134">
        <v>3.36</v>
      </c>
      <c r="P134" s="33">
        <v>8.2600000000000007E-2</v>
      </c>
      <c r="Q134" s="33">
        <v>0.18279999999999999</v>
      </c>
      <c r="R134" s="34">
        <v>141872000</v>
      </c>
      <c r="S134" s="34">
        <v>9350230000</v>
      </c>
      <c r="T134">
        <v>0.64</v>
      </c>
      <c r="U134" s="33">
        <v>0.18590000000000001</v>
      </c>
    </row>
    <row r="135" spans="1:21" x14ac:dyDescent="0.25">
      <c r="A135" t="s">
        <v>255</v>
      </c>
      <c r="B135">
        <v>1.5</v>
      </c>
      <c r="C135">
        <v>-1.66</v>
      </c>
      <c r="D135">
        <v>0.24</v>
      </c>
      <c r="E135">
        <v>0.122</v>
      </c>
      <c r="F135" s="33">
        <v>0</v>
      </c>
      <c r="G135">
        <v>6.7000000000000004E-2</v>
      </c>
      <c r="H135">
        <v>0.38</v>
      </c>
      <c r="I135">
        <v>1.75</v>
      </c>
      <c r="J135">
        <v>-0.19</v>
      </c>
      <c r="K135">
        <v>10.16</v>
      </c>
      <c r="L135">
        <v>4.47</v>
      </c>
      <c r="M135" s="33">
        <v>6.9699999999999998E-2</v>
      </c>
      <c r="N135" s="33">
        <v>-7.3400000000000007E-2</v>
      </c>
      <c r="O135">
        <v>1.92</v>
      </c>
      <c r="P135" s="33">
        <v>4.6100000000000002E-2</v>
      </c>
      <c r="Q135" s="33">
        <v>-0.14549999999999999</v>
      </c>
      <c r="R135" s="34">
        <v>1165000</v>
      </c>
      <c r="S135" s="34">
        <v>7813960000</v>
      </c>
      <c r="T135">
        <v>1.61</v>
      </c>
      <c r="U135" s="33">
        <v>0.1711</v>
      </c>
    </row>
    <row r="136" spans="1:21" x14ac:dyDescent="0.25">
      <c r="A136" t="s">
        <v>107</v>
      </c>
      <c r="B136">
        <v>9.5</v>
      </c>
      <c r="C136">
        <v>12.19</v>
      </c>
      <c r="D136">
        <v>0.8</v>
      </c>
      <c r="E136">
        <v>0.95299999999999996</v>
      </c>
      <c r="F136" s="33">
        <v>3.8999999999999998E-3</v>
      </c>
      <c r="G136">
        <v>0.307</v>
      </c>
      <c r="H136">
        <v>6.6</v>
      </c>
      <c r="I136">
        <v>3.24</v>
      </c>
      <c r="J136">
        <v>-0.7</v>
      </c>
      <c r="K136">
        <v>6.35</v>
      </c>
      <c r="L136">
        <v>3.82</v>
      </c>
      <c r="M136" s="33">
        <v>0.29360000000000003</v>
      </c>
      <c r="N136" s="33">
        <v>8.7300000000000003E-2</v>
      </c>
      <c r="O136">
        <v>1.37</v>
      </c>
      <c r="P136" s="33">
        <v>0.108</v>
      </c>
      <c r="Q136" s="33">
        <v>6.59E-2</v>
      </c>
      <c r="R136" s="34">
        <v>2200210</v>
      </c>
      <c r="S136" s="34">
        <v>1369920000</v>
      </c>
      <c r="T136">
        <v>1.02</v>
      </c>
      <c r="U136" s="33">
        <v>0.36709999999999998</v>
      </c>
    </row>
    <row r="137" spans="1:21" x14ac:dyDescent="0.25">
      <c r="A137" t="s">
        <v>58</v>
      </c>
      <c r="B137">
        <v>8.85</v>
      </c>
      <c r="C137">
        <v>6.19</v>
      </c>
      <c r="D137">
        <v>0.97</v>
      </c>
      <c r="E137">
        <v>0.47799999999999998</v>
      </c>
      <c r="F137" s="33">
        <v>5.9499999999999997E-2</v>
      </c>
      <c r="G137">
        <v>0.59599999999999997</v>
      </c>
      <c r="H137">
        <v>1.35</v>
      </c>
      <c r="I137">
        <v>6.21</v>
      </c>
      <c r="J137">
        <v>2.2000000000000002</v>
      </c>
      <c r="K137">
        <v>5.98</v>
      </c>
      <c r="L137">
        <v>4.95</v>
      </c>
      <c r="M137" s="33">
        <v>7.6899999999999996E-2</v>
      </c>
      <c r="N137" s="33">
        <v>7.9000000000000001E-2</v>
      </c>
      <c r="O137">
        <v>3.06</v>
      </c>
      <c r="P137" s="33">
        <v>0.13239999999999999</v>
      </c>
      <c r="Q137" s="33">
        <v>0.15640000000000001</v>
      </c>
      <c r="R137" s="34">
        <v>925656</v>
      </c>
      <c r="S137" s="34">
        <v>999766000</v>
      </c>
      <c r="T137">
        <v>0.24</v>
      </c>
      <c r="U137" s="33">
        <v>0.1051</v>
      </c>
    </row>
    <row r="138" spans="1:21" x14ac:dyDescent="0.25">
      <c r="A138" t="s">
        <v>378</v>
      </c>
      <c r="B138">
        <v>8.94</v>
      </c>
      <c r="C138">
        <v>6.25</v>
      </c>
      <c r="D138">
        <v>0.98</v>
      </c>
      <c r="E138">
        <v>0.48199999999999998</v>
      </c>
      <c r="F138" s="33">
        <v>6.0100000000000001E-2</v>
      </c>
      <c r="G138">
        <v>0.60199999999999998</v>
      </c>
      <c r="H138">
        <v>1.36</v>
      </c>
      <c r="I138">
        <v>6.27</v>
      </c>
      <c r="J138">
        <v>2.2200000000000002</v>
      </c>
      <c r="K138">
        <v>6.04</v>
      </c>
      <c r="L138">
        <v>5</v>
      </c>
      <c r="M138" s="33">
        <v>7.6899999999999996E-2</v>
      </c>
      <c r="N138" s="33">
        <v>7.9000000000000001E-2</v>
      </c>
      <c r="O138">
        <v>3.06</v>
      </c>
      <c r="P138" s="33">
        <v>0.13239999999999999</v>
      </c>
      <c r="Q138" s="33">
        <v>0.15640000000000001</v>
      </c>
      <c r="R138" s="34">
        <v>104586</v>
      </c>
      <c r="S138" s="34">
        <v>999766000</v>
      </c>
      <c r="T138">
        <v>0.24</v>
      </c>
      <c r="U138" s="33">
        <v>0.1051</v>
      </c>
    </row>
    <row r="139" spans="1:21" x14ac:dyDescent="0.25">
      <c r="A139" t="s">
        <v>120</v>
      </c>
      <c r="B139">
        <v>39.46</v>
      </c>
      <c r="C139">
        <v>10.49</v>
      </c>
      <c r="D139">
        <v>3.14</v>
      </c>
      <c r="E139">
        <v>1.9159999999999999</v>
      </c>
      <c r="F139" s="33">
        <v>8.4400000000000003E-2</v>
      </c>
      <c r="G139">
        <v>0.64500000000000002</v>
      </c>
      <c r="H139">
        <v>1.98</v>
      </c>
      <c r="I139">
        <v>8.65</v>
      </c>
      <c r="J139">
        <v>-1.92</v>
      </c>
      <c r="K139">
        <v>9.1</v>
      </c>
      <c r="L139">
        <v>8.34</v>
      </c>
      <c r="M139" s="33">
        <v>0.22140000000000001</v>
      </c>
      <c r="N139" s="33">
        <v>0.2099</v>
      </c>
      <c r="O139">
        <v>3.82</v>
      </c>
      <c r="P139" s="33">
        <v>8.9499999999999996E-2</v>
      </c>
      <c r="Q139" s="33">
        <v>0.29959999999999998</v>
      </c>
      <c r="R139" s="34">
        <v>72244700</v>
      </c>
      <c r="S139" s="34">
        <v>2178390000</v>
      </c>
      <c r="T139">
        <v>0.91</v>
      </c>
      <c r="U139" s="33">
        <v>0.2064</v>
      </c>
    </row>
    <row r="140" spans="1:21" x14ac:dyDescent="0.25">
      <c r="A140" t="s">
        <v>9</v>
      </c>
      <c r="B140">
        <v>5.07</v>
      </c>
      <c r="C140">
        <v>10.28</v>
      </c>
      <c r="D140">
        <v>0.28999999999999998</v>
      </c>
      <c r="E140">
        <v>0.114</v>
      </c>
      <c r="F140" s="33">
        <v>0</v>
      </c>
      <c r="G140">
        <v>0.14000000000000001</v>
      </c>
      <c r="H140">
        <v>6.08</v>
      </c>
      <c r="I140">
        <v>4.05</v>
      </c>
      <c r="J140">
        <v>-0.71</v>
      </c>
      <c r="K140">
        <v>4.12</v>
      </c>
      <c r="L140">
        <v>1.4</v>
      </c>
      <c r="M140" s="33">
        <v>2.8199999999999999E-2</v>
      </c>
      <c r="N140" s="33">
        <v>1.11E-2</v>
      </c>
      <c r="O140">
        <v>1.08</v>
      </c>
      <c r="P140" s="33">
        <v>4.3799999999999999E-2</v>
      </c>
      <c r="Q140" s="33">
        <v>2.7799999999999998E-2</v>
      </c>
      <c r="R140" s="34">
        <v>457151</v>
      </c>
      <c r="S140" s="34">
        <v>896843000</v>
      </c>
      <c r="T140">
        <v>0.04</v>
      </c>
      <c r="U140" s="33">
        <v>0.23039999999999999</v>
      </c>
    </row>
    <row r="141" spans="1:21" x14ac:dyDescent="0.25">
      <c r="A141" t="s">
        <v>379</v>
      </c>
      <c r="B141">
        <v>6.51</v>
      </c>
      <c r="C141">
        <v>-117.73</v>
      </c>
      <c r="D141">
        <v>0.71</v>
      </c>
      <c r="E141">
        <v>0.77</v>
      </c>
      <c r="F141" s="33">
        <v>0</v>
      </c>
      <c r="G141">
        <v>0.495</v>
      </c>
      <c r="H141">
        <v>1.03</v>
      </c>
      <c r="I141">
        <v>-15.12</v>
      </c>
      <c r="J141">
        <v>1.83</v>
      </c>
      <c r="K141">
        <v>-17.440000000000001</v>
      </c>
      <c r="L141">
        <v>-51.74</v>
      </c>
      <c r="M141" s="33">
        <v>-5.0900000000000001E-2</v>
      </c>
      <c r="N141" s="33">
        <v>-6.4999999999999997E-3</v>
      </c>
      <c r="O141">
        <v>6</v>
      </c>
      <c r="P141" s="33">
        <v>-3.6600000000000001E-2</v>
      </c>
      <c r="Q141" s="33">
        <v>-6.0000000000000001E-3</v>
      </c>
      <c r="R141" s="34">
        <v>60.88</v>
      </c>
      <c r="S141" s="34">
        <v>693418000</v>
      </c>
      <c r="T141">
        <v>0.22</v>
      </c>
      <c r="U141" s="33">
        <v>7.3000000000000001E-3</v>
      </c>
    </row>
    <row r="142" spans="1:21" x14ac:dyDescent="0.25">
      <c r="A142" t="s">
        <v>134</v>
      </c>
      <c r="B142">
        <v>3.98</v>
      </c>
      <c r="C142">
        <v>-71.97</v>
      </c>
      <c r="D142">
        <v>0.43</v>
      </c>
      <c r="E142">
        <v>0.47099999999999997</v>
      </c>
      <c r="F142" s="33">
        <v>0</v>
      </c>
      <c r="G142">
        <v>0.30299999999999999</v>
      </c>
      <c r="H142">
        <v>0.63</v>
      </c>
      <c r="I142">
        <v>-9.24</v>
      </c>
      <c r="J142">
        <v>1.1200000000000001</v>
      </c>
      <c r="K142">
        <v>-11.57</v>
      </c>
      <c r="L142">
        <v>-34.31</v>
      </c>
      <c r="M142" s="33">
        <v>-5.0900000000000001E-2</v>
      </c>
      <c r="N142" s="33">
        <v>-6.4999999999999997E-3</v>
      </c>
      <c r="O142">
        <v>6</v>
      </c>
      <c r="P142" s="33">
        <v>-3.6600000000000001E-2</v>
      </c>
      <c r="Q142" s="33">
        <v>-6.0000000000000001E-3</v>
      </c>
      <c r="R142" s="34">
        <v>8287.83</v>
      </c>
      <c r="S142" s="34">
        <v>693418000</v>
      </c>
      <c r="T142">
        <v>0.22</v>
      </c>
      <c r="U142" s="33">
        <v>7.3000000000000001E-3</v>
      </c>
    </row>
    <row r="143" spans="1:21" x14ac:dyDescent="0.25">
      <c r="A143" t="s">
        <v>259</v>
      </c>
      <c r="B143">
        <v>7.76</v>
      </c>
      <c r="C143">
        <v>-14.21</v>
      </c>
      <c r="D143">
        <v>-0.42</v>
      </c>
      <c r="E143">
        <v>0.63700000000000001</v>
      </c>
      <c r="F143" s="33">
        <v>0</v>
      </c>
      <c r="G143">
        <v>0.54800000000000004</v>
      </c>
      <c r="H143">
        <v>-0.47</v>
      </c>
      <c r="I143">
        <v>14.97</v>
      </c>
      <c r="J143">
        <v>-0.28000000000000003</v>
      </c>
      <c r="K143">
        <v>19.66</v>
      </c>
      <c r="L143">
        <v>3.76</v>
      </c>
      <c r="M143" s="33">
        <v>4.2500000000000003E-2</v>
      </c>
      <c r="N143" s="33">
        <v>-4.48E-2</v>
      </c>
      <c r="O143">
        <v>0.23</v>
      </c>
      <c r="P143" s="33">
        <v>5.8299999999999998E-2</v>
      </c>
      <c r="Q143" s="33">
        <v>2.9399999999999999E-2</v>
      </c>
      <c r="R143" s="34">
        <v>132254</v>
      </c>
      <c r="S143" s="34">
        <v>-247366000</v>
      </c>
      <c r="T143">
        <v>-0.23</v>
      </c>
      <c r="U143" s="33">
        <v>7.1099999999999997E-2</v>
      </c>
    </row>
    <row r="144" spans="1:21" x14ac:dyDescent="0.25">
      <c r="A144" t="s">
        <v>380</v>
      </c>
      <c r="B144">
        <v>2.99</v>
      </c>
      <c r="C144">
        <v>-38.520000000000003</v>
      </c>
      <c r="D144">
        <v>29.25</v>
      </c>
      <c r="E144">
        <v>5.4329999999999998</v>
      </c>
      <c r="F144" s="33">
        <v>0</v>
      </c>
      <c r="G144">
        <v>4.0449999999999999</v>
      </c>
      <c r="H144">
        <v>9.1300000000000008</v>
      </c>
      <c r="I144">
        <v>-40.049999999999997</v>
      </c>
      <c r="J144">
        <v>83.2</v>
      </c>
      <c r="K144">
        <v>-38.75</v>
      </c>
      <c r="L144">
        <v>-257.58999999999997</v>
      </c>
      <c r="M144" s="33">
        <v>-0.13569999999999999</v>
      </c>
      <c r="N144" s="33">
        <v>-0.14099999999999999</v>
      </c>
      <c r="O144">
        <v>1.95</v>
      </c>
      <c r="P144" s="33">
        <v>-0.1195</v>
      </c>
      <c r="Q144" s="33">
        <v>-0.75919999999999999</v>
      </c>
      <c r="R144" s="34">
        <v>3458.26</v>
      </c>
      <c r="S144" s="34">
        <v>1138000</v>
      </c>
      <c r="T144">
        <v>0</v>
      </c>
      <c r="U144" s="33">
        <v>-0.16789999999999999</v>
      </c>
    </row>
    <row r="145" spans="1:21" x14ac:dyDescent="0.25">
      <c r="A145" t="s">
        <v>149</v>
      </c>
      <c r="B145">
        <v>5.55</v>
      </c>
      <c r="C145">
        <v>17.66</v>
      </c>
      <c r="D145">
        <v>0.66</v>
      </c>
      <c r="E145">
        <v>0.55500000000000005</v>
      </c>
      <c r="F145" s="33">
        <v>9.7000000000000003E-3</v>
      </c>
      <c r="G145">
        <v>0.253</v>
      </c>
      <c r="H145">
        <v>3.48</v>
      </c>
      <c r="I145">
        <v>5.8</v>
      </c>
      <c r="J145">
        <v>-0.75</v>
      </c>
      <c r="K145">
        <v>12.22</v>
      </c>
      <c r="L145">
        <v>4.8099999999999996</v>
      </c>
      <c r="M145" s="33">
        <v>9.5699999999999993E-2</v>
      </c>
      <c r="N145" s="33">
        <v>3.27E-2</v>
      </c>
      <c r="O145">
        <v>1.37</v>
      </c>
      <c r="P145" s="33">
        <v>5.11E-2</v>
      </c>
      <c r="Q145" s="33">
        <v>3.7499999999999999E-2</v>
      </c>
      <c r="R145" s="34">
        <v>14661100</v>
      </c>
      <c r="S145" s="34">
        <v>6872730000</v>
      </c>
      <c r="T145">
        <v>0.95</v>
      </c>
      <c r="U145" s="33">
        <v>3.61E-2</v>
      </c>
    </row>
    <row r="146" spans="1:21" x14ac:dyDescent="0.25">
      <c r="A146" t="s">
        <v>381</v>
      </c>
      <c r="B146">
        <v>15.01</v>
      </c>
      <c r="C146">
        <v>3.56</v>
      </c>
      <c r="D146">
        <v>1</v>
      </c>
      <c r="E146">
        <v>0.57499999999999996</v>
      </c>
      <c r="F146" s="33">
        <v>3.8199999999999998E-2</v>
      </c>
      <c r="G146">
        <v>0.52400000000000002</v>
      </c>
      <c r="H146">
        <v>5.68</v>
      </c>
      <c r="I146">
        <v>3.61</v>
      </c>
      <c r="J146">
        <v>-10.81</v>
      </c>
      <c r="K146">
        <v>4.66</v>
      </c>
      <c r="L146">
        <v>3.71</v>
      </c>
      <c r="M146" s="33">
        <v>0.15939999999999999</v>
      </c>
      <c r="N146" s="33">
        <v>0.1613</v>
      </c>
      <c r="O146">
        <v>1.27</v>
      </c>
      <c r="P146" s="33">
        <v>0.15529999999999999</v>
      </c>
      <c r="Q146" s="33">
        <v>0.28110000000000002</v>
      </c>
      <c r="R146" s="34">
        <v>22129</v>
      </c>
      <c r="S146" s="34">
        <v>337052000</v>
      </c>
      <c r="T146">
        <v>0.32</v>
      </c>
      <c r="U146" s="33">
        <v>0.1925</v>
      </c>
    </row>
    <row r="147" spans="1:21" x14ac:dyDescent="0.25">
      <c r="A147" t="s">
        <v>74</v>
      </c>
      <c r="B147">
        <v>14.65</v>
      </c>
      <c r="C147">
        <v>3.48</v>
      </c>
      <c r="D147">
        <v>0.98</v>
      </c>
      <c r="E147">
        <v>0.56100000000000005</v>
      </c>
      <c r="F147" s="33">
        <v>4.2999999999999997E-2</v>
      </c>
      <c r="G147">
        <v>0.51100000000000001</v>
      </c>
      <c r="H147">
        <v>5.54</v>
      </c>
      <c r="I147">
        <v>3.52</v>
      </c>
      <c r="J147">
        <v>-10.55</v>
      </c>
      <c r="K147">
        <v>4.57</v>
      </c>
      <c r="L147">
        <v>3.64</v>
      </c>
      <c r="M147" s="33">
        <v>0.15939999999999999</v>
      </c>
      <c r="N147" s="33">
        <v>0.1613</v>
      </c>
      <c r="O147">
        <v>1.27</v>
      </c>
      <c r="P147" s="33">
        <v>0.15529999999999999</v>
      </c>
      <c r="Q147" s="33">
        <v>0.28110000000000002</v>
      </c>
      <c r="R147" s="34">
        <v>179850</v>
      </c>
      <c r="S147" s="34">
        <v>337052000</v>
      </c>
      <c r="T147">
        <v>0.32</v>
      </c>
      <c r="U147" s="33">
        <v>0.1925</v>
      </c>
    </row>
    <row r="148" spans="1:21" x14ac:dyDescent="0.25">
      <c r="A148" t="s">
        <v>192</v>
      </c>
      <c r="B148">
        <v>7.19</v>
      </c>
      <c r="C148">
        <v>6.11</v>
      </c>
      <c r="D148">
        <v>1.4</v>
      </c>
      <c r="E148">
        <v>0.49199999999999999</v>
      </c>
      <c r="F148" s="33">
        <v>0</v>
      </c>
      <c r="G148">
        <v>0.154</v>
      </c>
      <c r="H148">
        <v>-9.69</v>
      </c>
      <c r="I148">
        <v>1.37</v>
      </c>
      <c r="J148">
        <v>-0.21</v>
      </c>
      <c r="K148">
        <v>6.63</v>
      </c>
      <c r="L148">
        <v>5.12</v>
      </c>
      <c r="M148" s="33">
        <v>0.35809999999999997</v>
      </c>
      <c r="N148" s="33">
        <v>7.9899999999999999E-2</v>
      </c>
      <c r="O148">
        <v>0.9</v>
      </c>
      <c r="P148" s="33">
        <v>0.12909999999999999</v>
      </c>
      <c r="Q148" s="33">
        <v>0.2293</v>
      </c>
      <c r="R148" s="34">
        <v>31805500</v>
      </c>
      <c r="S148" s="34">
        <v>3574010000</v>
      </c>
      <c r="T148">
        <v>6.44</v>
      </c>
      <c r="U148" s="33">
        <v>0.28670000000000001</v>
      </c>
    </row>
    <row r="149" spans="1:21" x14ac:dyDescent="0.25">
      <c r="A149" t="s">
        <v>78</v>
      </c>
      <c r="B149">
        <v>40.46</v>
      </c>
      <c r="C149">
        <v>9.81</v>
      </c>
      <c r="D149">
        <v>2.73</v>
      </c>
      <c r="E149">
        <v>2.84</v>
      </c>
      <c r="F149" s="33">
        <v>5.7500000000000002E-2</v>
      </c>
      <c r="G149">
        <v>0.626</v>
      </c>
      <c r="H149">
        <v>17.399999999999999</v>
      </c>
      <c r="I149">
        <v>5.76</v>
      </c>
      <c r="J149">
        <v>-1.07</v>
      </c>
      <c r="K149">
        <v>9.2899999999999991</v>
      </c>
      <c r="L149">
        <v>7.74</v>
      </c>
      <c r="M149" s="33">
        <v>0.49340000000000001</v>
      </c>
      <c r="N149" s="33">
        <v>0.2964</v>
      </c>
      <c r="O149">
        <v>1.27</v>
      </c>
      <c r="P149" s="33">
        <v>0.1239</v>
      </c>
      <c r="Q149" s="33">
        <v>0.27839999999999998</v>
      </c>
      <c r="R149" s="34">
        <v>57711000</v>
      </c>
      <c r="S149" s="34">
        <v>12083000000</v>
      </c>
      <c r="T149">
        <v>2.14</v>
      </c>
      <c r="U149" s="33">
        <v>-3.7199999999999997E-2</v>
      </c>
    </row>
    <row r="150" spans="1:21" x14ac:dyDescent="0.25">
      <c r="A150" t="s">
        <v>382</v>
      </c>
      <c r="B150">
        <v>35</v>
      </c>
      <c r="C150">
        <v>7.28</v>
      </c>
      <c r="D150">
        <v>2.97</v>
      </c>
      <c r="E150">
        <v>0.72099999999999997</v>
      </c>
      <c r="F150" s="33">
        <v>0.12659999999999999</v>
      </c>
      <c r="G150">
        <v>0.55400000000000005</v>
      </c>
      <c r="H150">
        <v>-33.57</v>
      </c>
      <c r="I150">
        <v>3.02</v>
      </c>
      <c r="J150">
        <v>-1.03</v>
      </c>
      <c r="K150">
        <v>5.92</v>
      </c>
      <c r="L150">
        <v>5.01</v>
      </c>
      <c r="M150" s="33">
        <v>0.23880000000000001</v>
      </c>
      <c r="N150" s="33">
        <v>9.8900000000000002E-2</v>
      </c>
      <c r="O150">
        <v>0.94</v>
      </c>
      <c r="P150" s="33">
        <v>0.20849999999999999</v>
      </c>
      <c r="Q150" s="33">
        <v>0.40739999999999998</v>
      </c>
      <c r="R150" s="34">
        <v>1500.93</v>
      </c>
      <c r="S150" s="34">
        <v>2285000000</v>
      </c>
      <c r="T150">
        <v>3.16</v>
      </c>
      <c r="U150" s="33">
        <v>5.5100000000000003E-2</v>
      </c>
    </row>
    <row r="151" spans="1:21" x14ac:dyDescent="0.25">
      <c r="A151" t="s">
        <v>383</v>
      </c>
      <c r="B151">
        <v>48.1</v>
      </c>
      <c r="C151">
        <v>10.01</v>
      </c>
      <c r="D151">
        <v>4.08</v>
      </c>
      <c r="E151">
        <v>0.99099999999999999</v>
      </c>
      <c r="F151" s="33">
        <v>0.1013</v>
      </c>
      <c r="G151">
        <v>0.76100000000000001</v>
      </c>
      <c r="H151">
        <v>-46.14</v>
      </c>
      <c r="I151">
        <v>4.1500000000000004</v>
      </c>
      <c r="J151">
        <v>-1.42</v>
      </c>
      <c r="K151">
        <v>7.05</v>
      </c>
      <c r="L151">
        <v>5.97</v>
      </c>
      <c r="M151" s="33">
        <v>0.23880000000000001</v>
      </c>
      <c r="N151" s="33">
        <v>9.8900000000000002E-2</v>
      </c>
      <c r="O151">
        <v>0.94</v>
      </c>
      <c r="P151" s="33">
        <v>0.20849999999999999</v>
      </c>
      <c r="Q151" s="33">
        <v>0.40739999999999998</v>
      </c>
      <c r="R151" s="34">
        <v>12361.4</v>
      </c>
      <c r="S151" s="34">
        <v>2285000000</v>
      </c>
      <c r="T151">
        <v>3.16</v>
      </c>
      <c r="U151" s="33">
        <v>5.5100000000000003E-2</v>
      </c>
    </row>
    <row r="152" spans="1:21" x14ac:dyDescent="0.25">
      <c r="A152" t="s">
        <v>118</v>
      </c>
      <c r="B152">
        <v>41.3</v>
      </c>
      <c r="C152">
        <v>9.83</v>
      </c>
      <c r="D152">
        <v>0.78</v>
      </c>
      <c r="E152">
        <v>2.2749999999999999</v>
      </c>
      <c r="F152" s="33">
        <v>4.2599999999999999E-2</v>
      </c>
      <c r="G152">
        <v>0.33800000000000002</v>
      </c>
      <c r="H152">
        <v>2.95</v>
      </c>
      <c r="I152">
        <v>6.76</v>
      </c>
      <c r="J152">
        <v>-0.92</v>
      </c>
      <c r="K152">
        <v>9.61</v>
      </c>
      <c r="L152">
        <v>7.45</v>
      </c>
      <c r="M152" s="33">
        <v>0.33650000000000002</v>
      </c>
      <c r="N152" s="33">
        <v>0.23150000000000001</v>
      </c>
      <c r="O152">
        <v>2.29</v>
      </c>
      <c r="P152" s="33">
        <v>5.6599999999999998E-2</v>
      </c>
      <c r="Q152" s="33">
        <v>7.9799999999999996E-2</v>
      </c>
      <c r="R152" s="34">
        <v>315006000</v>
      </c>
      <c r="S152" s="34">
        <v>121494000000</v>
      </c>
      <c r="T152">
        <v>0.57999999999999996</v>
      </c>
      <c r="U152" s="33">
        <v>6.1199999999999997E-2</v>
      </c>
    </row>
    <row r="153" spans="1:21" x14ac:dyDescent="0.25">
      <c r="A153" t="s">
        <v>518</v>
      </c>
      <c r="B153">
        <v>82.5</v>
      </c>
      <c r="C153">
        <v>19.63</v>
      </c>
      <c r="D153">
        <v>1.57</v>
      </c>
      <c r="E153">
        <v>4.5449999999999999</v>
      </c>
      <c r="F153" s="33">
        <v>0</v>
      </c>
      <c r="G153">
        <v>0.67500000000000004</v>
      </c>
      <c r="H153">
        <v>5.89</v>
      </c>
      <c r="I153">
        <v>13.51</v>
      </c>
      <c r="J153">
        <v>-1.85</v>
      </c>
      <c r="K153">
        <v>16.36</v>
      </c>
      <c r="L153">
        <v>12.67</v>
      </c>
      <c r="M153" s="33">
        <v>0.33650000000000002</v>
      </c>
      <c r="N153" s="33">
        <v>0.23150000000000001</v>
      </c>
      <c r="O153">
        <v>2.29</v>
      </c>
      <c r="P153" s="33">
        <v>5.6599999999999998E-2</v>
      </c>
      <c r="Q153" s="33">
        <v>7.9799999999999996E-2</v>
      </c>
      <c r="R153" s="34">
        <v>196.43</v>
      </c>
      <c r="S153" s="34">
        <v>121494000000</v>
      </c>
      <c r="T153">
        <v>0.57999999999999996</v>
      </c>
      <c r="U153" s="33">
        <v>6.1199999999999997E-2</v>
      </c>
    </row>
    <row r="154" spans="1:21" x14ac:dyDescent="0.25">
      <c r="A154" t="s">
        <v>384</v>
      </c>
      <c r="B154">
        <v>45.69</v>
      </c>
      <c r="C154">
        <v>10.87</v>
      </c>
      <c r="D154">
        <v>0.87</v>
      </c>
      <c r="E154">
        <v>2.5169999999999999</v>
      </c>
      <c r="F154" s="33">
        <v>4.2299999999999997E-2</v>
      </c>
      <c r="G154">
        <v>0.374</v>
      </c>
      <c r="H154">
        <v>3.26</v>
      </c>
      <c r="I154">
        <v>7.48</v>
      </c>
      <c r="J154">
        <v>-1.02</v>
      </c>
      <c r="K154">
        <v>10.33</v>
      </c>
      <c r="L154">
        <v>8</v>
      </c>
      <c r="M154" s="33">
        <v>0.33650000000000002</v>
      </c>
      <c r="N154" s="33">
        <v>0.23150000000000001</v>
      </c>
      <c r="O154">
        <v>2.29</v>
      </c>
      <c r="P154" s="33">
        <v>5.6599999999999998E-2</v>
      </c>
      <c r="Q154" s="33">
        <v>7.9799999999999996E-2</v>
      </c>
      <c r="R154" s="34">
        <v>64236000</v>
      </c>
      <c r="S154" s="34">
        <v>121494000000</v>
      </c>
      <c r="T154">
        <v>0.57999999999999996</v>
      </c>
      <c r="U154" s="33">
        <v>6.1199999999999997E-2</v>
      </c>
    </row>
    <row r="155" spans="1:21" x14ac:dyDescent="0.25">
      <c r="A155" t="s">
        <v>385</v>
      </c>
      <c r="B155">
        <v>31</v>
      </c>
      <c r="C155">
        <v>39.74</v>
      </c>
      <c r="D155">
        <v>4.53</v>
      </c>
      <c r="E155">
        <v>3.5550000000000002</v>
      </c>
      <c r="F155" s="33">
        <v>6.3E-3</v>
      </c>
      <c r="G155">
        <v>1.3939999999999999</v>
      </c>
      <c r="H155">
        <v>10.24</v>
      </c>
      <c r="I155">
        <v>13.53</v>
      </c>
      <c r="J155">
        <v>-4.49</v>
      </c>
      <c r="K155">
        <v>15.97</v>
      </c>
      <c r="L155">
        <v>11.64</v>
      </c>
      <c r="M155" s="33">
        <v>0.2626</v>
      </c>
      <c r="N155" s="33">
        <v>0.1144</v>
      </c>
      <c r="O155">
        <v>1.76</v>
      </c>
      <c r="P155" s="33">
        <v>0.13800000000000001</v>
      </c>
      <c r="Q155" s="33">
        <v>0.114</v>
      </c>
      <c r="R155" s="34">
        <v>2029660</v>
      </c>
      <c r="S155" s="34">
        <v>983781000</v>
      </c>
      <c r="T155">
        <v>1.45</v>
      </c>
      <c r="U155" s="33">
        <v>0.52680000000000005</v>
      </c>
    </row>
    <row r="156" spans="1:21" x14ac:dyDescent="0.25">
      <c r="A156" t="s">
        <v>386</v>
      </c>
      <c r="B156">
        <v>32.979999999999997</v>
      </c>
      <c r="C156">
        <v>18.29</v>
      </c>
      <c r="D156">
        <v>0.99</v>
      </c>
      <c r="E156">
        <v>1.9750000000000001</v>
      </c>
      <c r="F156" s="33">
        <v>2.5499999999999998E-2</v>
      </c>
      <c r="G156">
        <v>0.56599999999999995</v>
      </c>
      <c r="H156">
        <v>2.59</v>
      </c>
      <c r="I156">
        <v>15.43</v>
      </c>
      <c r="J156">
        <v>-4.1900000000000004</v>
      </c>
      <c r="K156">
        <v>12.06</v>
      </c>
      <c r="L156">
        <v>10.65</v>
      </c>
      <c r="M156" s="33">
        <v>0.128</v>
      </c>
      <c r="N156" s="33">
        <v>0.108</v>
      </c>
      <c r="O156">
        <v>3.91</v>
      </c>
      <c r="P156" s="33">
        <v>4.2000000000000003E-2</v>
      </c>
      <c r="Q156" s="33">
        <v>5.4100000000000002E-2</v>
      </c>
      <c r="R156" s="34">
        <v>132901</v>
      </c>
      <c r="S156" s="34">
        <v>1231320000</v>
      </c>
      <c r="T156">
        <v>0</v>
      </c>
      <c r="U156" s="33">
        <v>7.4399999999999994E-2</v>
      </c>
    </row>
    <row r="157" spans="1:21" x14ac:dyDescent="0.25">
      <c r="A157" t="s">
        <v>165</v>
      </c>
      <c r="B157">
        <v>66.44</v>
      </c>
      <c r="C157">
        <v>22.26</v>
      </c>
      <c r="D157">
        <v>2.69</v>
      </c>
      <c r="E157">
        <v>1.3160000000000001</v>
      </c>
      <c r="F157" s="33">
        <v>1.1000000000000001E-3</v>
      </c>
      <c r="G157">
        <v>0.73199999999999998</v>
      </c>
      <c r="H157">
        <v>5.63</v>
      </c>
      <c r="I157">
        <v>12.85</v>
      </c>
      <c r="J157">
        <v>-4.3600000000000003</v>
      </c>
      <c r="K157">
        <v>13.88</v>
      </c>
      <c r="L157">
        <v>10.15</v>
      </c>
      <c r="M157" s="33">
        <v>0.1024</v>
      </c>
      <c r="N157" s="33">
        <v>5.9700000000000003E-2</v>
      </c>
      <c r="O157">
        <v>1.32</v>
      </c>
      <c r="P157" s="33">
        <v>7.2900000000000006E-2</v>
      </c>
      <c r="Q157" s="33">
        <v>0.1207</v>
      </c>
      <c r="R157" s="34">
        <v>269719000</v>
      </c>
      <c r="S157" s="34">
        <v>18314200000</v>
      </c>
      <c r="T157">
        <v>0.64</v>
      </c>
      <c r="U157" s="33">
        <v>0.1338</v>
      </c>
    </row>
    <row r="158" spans="1:21" x14ac:dyDescent="0.25">
      <c r="A158" t="s">
        <v>155</v>
      </c>
      <c r="B158">
        <v>13.57</v>
      </c>
      <c r="C158">
        <v>53.82</v>
      </c>
      <c r="D158">
        <v>1.37</v>
      </c>
      <c r="E158">
        <v>1.9</v>
      </c>
      <c r="F158" s="33">
        <v>0</v>
      </c>
      <c r="G158">
        <v>0.48099999999999998</v>
      </c>
      <c r="H158">
        <v>7.02</v>
      </c>
      <c r="I158">
        <v>8.58</v>
      </c>
      <c r="J158">
        <v>-1.1299999999999999</v>
      </c>
      <c r="K158">
        <v>13.3</v>
      </c>
      <c r="L158">
        <v>8.2100000000000009</v>
      </c>
      <c r="M158" s="33">
        <v>0.2215</v>
      </c>
      <c r="N158" s="33">
        <v>6.8900000000000003E-2</v>
      </c>
      <c r="O158">
        <v>1.53</v>
      </c>
      <c r="P158" s="33">
        <v>6.3299999999999995E-2</v>
      </c>
      <c r="Q158" s="33">
        <v>2.5499999999999998E-2</v>
      </c>
      <c r="R158" s="34">
        <v>168329000</v>
      </c>
      <c r="S158" s="34">
        <v>19137700000</v>
      </c>
      <c r="T158">
        <v>1</v>
      </c>
      <c r="U158" s="33">
        <v>0.42749999999999999</v>
      </c>
    </row>
    <row r="159" spans="1:21" x14ac:dyDescent="0.25">
      <c r="A159" t="s">
        <v>387</v>
      </c>
      <c r="B159">
        <v>46.42</v>
      </c>
      <c r="C159">
        <v>5.8</v>
      </c>
      <c r="D159">
        <v>1.18</v>
      </c>
      <c r="E159">
        <v>0.622</v>
      </c>
      <c r="F159" s="33">
        <v>6.25E-2</v>
      </c>
      <c r="G159">
        <v>0.27100000000000002</v>
      </c>
      <c r="H159">
        <v>4.24</v>
      </c>
      <c r="I159">
        <v>3.38</v>
      </c>
      <c r="J159">
        <v>-0.56999999999999995</v>
      </c>
      <c r="K159">
        <v>7.85</v>
      </c>
      <c r="L159">
        <v>6</v>
      </c>
      <c r="M159" s="33">
        <v>0.18410000000000001</v>
      </c>
      <c r="N159" s="33">
        <v>0.1326</v>
      </c>
      <c r="O159">
        <v>1.38</v>
      </c>
      <c r="P159" s="33">
        <v>9.3700000000000006E-2</v>
      </c>
      <c r="Q159" s="33">
        <v>0.2036</v>
      </c>
      <c r="R159" s="34">
        <v>136950000</v>
      </c>
      <c r="S159" s="34">
        <v>17989300000</v>
      </c>
      <c r="T159">
        <v>2.04</v>
      </c>
      <c r="U159" s="33">
        <v>0.1101</v>
      </c>
    </row>
    <row r="160" spans="1:21" x14ac:dyDescent="0.25">
      <c r="A160" t="s">
        <v>388</v>
      </c>
      <c r="B160">
        <v>12.34</v>
      </c>
      <c r="C160">
        <v>7.71</v>
      </c>
      <c r="D160">
        <v>1.57</v>
      </c>
      <c r="E160">
        <v>0.82699999999999996</v>
      </c>
      <c r="F160" s="33">
        <v>4.7E-2</v>
      </c>
      <c r="G160">
        <v>0.36099999999999999</v>
      </c>
      <c r="H160">
        <v>5.64</v>
      </c>
      <c r="I160">
        <v>4.49</v>
      </c>
      <c r="J160">
        <v>-0.76</v>
      </c>
      <c r="K160">
        <v>8.9600000000000009</v>
      </c>
      <c r="L160">
        <v>6.85</v>
      </c>
      <c r="M160" s="33">
        <v>0.18410000000000001</v>
      </c>
      <c r="N160" s="33">
        <v>0.1326</v>
      </c>
      <c r="O160">
        <v>1.38</v>
      </c>
      <c r="P160" s="33">
        <v>9.3700000000000006E-2</v>
      </c>
      <c r="Q160" s="33">
        <v>0.2036</v>
      </c>
      <c r="R160" s="34">
        <v>49184.2</v>
      </c>
      <c r="S160" s="34">
        <v>17989300000</v>
      </c>
      <c r="T160">
        <v>2.04</v>
      </c>
      <c r="U160" s="33">
        <v>0.1101</v>
      </c>
    </row>
    <row r="161" spans="1:21" x14ac:dyDescent="0.25">
      <c r="A161" t="s">
        <v>166</v>
      </c>
      <c r="B161">
        <v>8.52</v>
      </c>
      <c r="C161">
        <v>5.32</v>
      </c>
      <c r="D161">
        <v>1.08</v>
      </c>
      <c r="E161">
        <v>0.57099999999999995</v>
      </c>
      <c r="F161" s="33">
        <v>6.8099999999999994E-2</v>
      </c>
      <c r="G161">
        <v>0.249</v>
      </c>
      <c r="H161">
        <v>3.89</v>
      </c>
      <c r="I161">
        <v>3.1</v>
      </c>
      <c r="J161">
        <v>-0.52</v>
      </c>
      <c r="K161">
        <v>7.57</v>
      </c>
      <c r="L161">
        <v>5.79</v>
      </c>
      <c r="M161" s="33">
        <v>0.18410000000000001</v>
      </c>
      <c r="N161" s="33">
        <v>0.1326</v>
      </c>
      <c r="O161">
        <v>1.38</v>
      </c>
      <c r="P161" s="33">
        <v>9.3700000000000006E-2</v>
      </c>
      <c r="Q161" s="33">
        <v>0.2036</v>
      </c>
      <c r="R161" s="34">
        <v>67902.2</v>
      </c>
      <c r="S161" s="34">
        <v>17989300000</v>
      </c>
      <c r="T161">
        <v>2.04</v>
      </c>
      <c r="U161" s="33">
        <v>0.1101</v>
      </c>
    </row>
    <row r="162" spans="1:21" x14ac:dyDescent="0.25">
      <c r="A162" t="s">
        <v>230</v>
      </c>
      <c r="B162">
        <v>1.2</v>
      </c>
      <c r="C162">
        <v>-11.81</v>
      </c>
      <c r="D162">
        <v>0.78</v>
      </c>
      <c r="E162">
        <v>0.93100000000000005</v>
      </c>
      <c r="F162" s="33">
        <v>0</v>
      </c>
      <c r="G162">
        <v>0.58399999999999996</v>
      </c>
      <c r="H162">
        <v>1.51</v>
      </c>
      <c r="I162">
        <v>-7.71</v>
      </c>
      <c r="J162">
        <v>1.9</v>
      </c>
      <c r="K162">
        <v>-1.54</v>
      </c>
      <c r="L162">
        <v>8.9499999999999993</v>
      </c>
      <c r="M162" s="33">
        <v>-0.1207</v>
      </c>
      <c r="N162" s="33">
        <v>-7.8799999999999995E-2</v>
      </c>
      <c r="O162">
        <v>3.2</v>
      </c>
      <c r="P162" s="33">
        <v>-0.1643</v>
      </c>
      <c r="Q162" s="33">
        <v>-6.6400000000000001E-2</v>
      </c>
      <c r="R162" s="34">
        <v>1481180</v>
      </c>
      <c r="S162" s="34">
        <v>313950000</v>
      </c>
      <c r="T162">
        <v>0</v>
      </c>
      <c r="U162" s="33">
        <v>0.34839999999999999</v>
      </c>
    </row>
    <row r="163" spans="1:21" x14ac:dyDescent="0.25">
      <c r="A163" t="s">
        <v>389</v>
      </c>
      <c r="B163">
        <v>69</v>
      </c>
      <c r="C163">
        <v>15.03</v>
      </c>
      <c r="D163">
        <v>3.76</v>
      </c>
      <c r="E163">
        <v>1.825</v>
      </c>
      <c r="F163" s="33">
        <v>5.91E-2</v>
      </c>
      <c r="G163">
        <v>1.0549999999999999</v>
      </c>
      <c r="H163">
        <v>10.69</v>
      </c>
      <c r="I163">
        <v>8.7799999999999994</v>
      </c>
      <c r="J163">
        <v>-2.38</v>
      </c>
      <c r="K163">
        <v>12.2</v>
      </c>
      <c r="L163">
        <v>10.17</v>
      </c>
      <c r="M163" s="33">
        <v>0.20780000000000001</v>
      </c>
      <c r="N163" s="33">
        <v>0.1215</v>
      </c>
      <c r="O163">
        <v>1.56</v>
      </c>
      <c r="P163" s="33">
        <v>0.14069999999999999</v>
      </c>
      <c r="Q163" s="33">
        <v>0.25009999999999999</v>
      </c>
      <c r="R163" s="34">
        <v>12021.4</v>
      </c>
      <c r="S163" s="34">
        <v>4019070000</v>
      </c>
      <c r="T163">
        <v>1.83</v>
      </c>
      <c r="U163" s="33">
        <v>9.1300000000000006E-2</v>
      </c>
    </row>
    <row r="164" spans="1:21" x14ac:dyDescent="0.25">
      <c r="A164" t="s">
        <v>390</v>
      </c>
      <c r="B164">
        <v>79.989999999999995</v>
      </c>
      <c r="C164">
        <v>17.420000000000002</v>
      </c>
      <c r="D164">
        <v>4.3600000000000003</v>
      </c>
      <c r="E164">
        <v>2.1160000000000001</v>
      </c>
      <c r="F164" s="33">
        <v>5.0999999999999997E-2</v>
      </c>
      <c r="G164">
        <v>1.224</v>
      </c>
      <c r="H164">
        <v>12.39</v>
      </c>
      <c r="I164">
        <v>10.18</v>
      </c>
      <c r="J164">
        <v>-2.76</v>
      </c>
      <c r="K164">
        <v>13.6</v>
      </c>
      <c r="L164">
        <v>11.34</v>
      </c>
      <c r="M164" s="33">
        <v>0.20780000000000001</v>
      </c>
      <c r="N164" s="33">
        <v>0.1215</v>
      </c>
      <c r="O164">
        <v>1.56</v>
      </c>
      <c r="P164" s="33">
        <v>0.14069999999999999</v>
      </c>
      <c r="Q164" s="33">
        <v>0.25009999999999999</v>
      </c>
      <c r="R164" s="34">
        <v>373.79</v>
      </c>
      <c r="S164" s="34">
        <v>4019070000</v>
      </c>
      <c r="T164">
        <v>1.83</v>
      </c>
      <c r="U164" s="33">
        <v>9.1300000000000006E-2</v>
      </c>
    </row>
    <row r="165" spans="1:21" x14ac:dyDescent="0.25">
      <c r="A165" t="s">
        <v>233</v>
      </c>
      <c r="B165">
        <v>4.91</v>
      </c>
      <c r="C165">
        <v>12.71</v>
      </c>
      <c r="D165">
        <v>1.34</v>
      </c>
      <c r="E165">
        <v>10.347</v>
      </c>
      <c r="F165" s="33">
        <v>0.37419999999999998</v>
      </c>
      <c r="G165">
        <v>1.0569999999999999</v>
      </c>
      <c r="H165">
        <v>4.55</v>
      </c>
      <c r="I165">
        <v>-11.32</v>
      </c>
      <c r="J165">
        <v>25.07</v>
      </c>
      <c r="K165">
        <v>-9.09</v>
      </c>
      <c r="L165">
        <v>-11.52</v>
      </c>
      <c r="M165" s="33">
        <v>-0.91390000000000005</v>
      </c>
      <c r="N165" s="33">
        <v>0.81379999999999997</v>
      </c>
      <c r="O165">
        <v>13.71</v>
      </c>
      <c r="P165" s="33">
        <v>-0.11840000000000001</v>
      </c>
      <c r="Q165" s="33">
        <v>0.105</v>
      </c>
      <c r="R165" s="34">
        <v>42599.3</v>
      </c>
      <c r="S165" s="34">
        <v>54645000</v>
      </c>
      <c r="T165">
        <v>0</v>
      </c>
      <c r="U165" s="33">
        <v>-0.63080000000000003</v>
      </c>
    </row>
    <row r="166" spans="1:21" x14ac:dyDescent="0.25">
      <c r="A166" t="s">
        <v>391</v>
      </c>
      <c r="B166">
        <v>26.99</v>
      </c>
      <c r="C166">
        <v>6.08</v>
      </c>
      <c r="D166">
        <v>1.05</v>
      </c>
      <c r="E166">
        <v>0.69299999999999995</v>
      </c>
      <c r="F166" s="33">
        <v>0.10150000000000001</v>
      </c>
      <c r="G166">
        <v>0.40300000000000002</v>
      </c>
      <c r="H166">
        <v>5.47</v>
      </c>
      <c r="I166">
        <v>3.37</v>
      </c>
      <c r="J166">
        <v>-1.1200000000000001</v>
      </c>
      <c r="K166">
        <v>5.75</v>
      </c>
      <c r="L166">
        <v>4.59</v>
      </c>
      <c r="M166" s="33">
        <v>0.20580000000000001</v>
      </c>
      <c r="N166" s="33">
        <v>0.1139</v>
      </c>
      <c r="O166">
        <v>1.4</v>
      </c>
      <c r="P166" s="33">
        <v>0.14169999999999999</v>
      </c>
      <c r="Q166" s="33">
        <v>0.1721</v>
      </c>
      <c r="R166" s="34">
        <v>5152.3599999999997</v>
      </c>
      <c r="S166" s="34">
        <v>4231080000</v>
      </c>
      <c r="T166">
        <v>1.02</v>
      </c>
      <c r="U166" s="33">
        <v>9.1200000000000003E-2</v>
      </c>
    </row>
    <row r="167" spans="1:21" x14ac:dyDescent="0.25">
      <c r="A167" t="s">
        <v>392</v>
      </c>
      <c r="B167">
        <v>5.62</v>
      </c>
      <c r="C167">
        <v>6.4</v>
      </c>
      <c r="D167">
        <v>2.31</v>
      </c>
      <c r="E167">
        <v>1.1120000000000001</v>
      </c>
      <c r="F167" s="33">
        <v>0.1172</v>
      </c>
      <c r="G167">
        <v>0.71799999999999997</v>
      </c>
      <c r="H167">
        <v>8.4</v>
      </c>
      <c r="I167">
        <v>4.21</v>
      </c>
      <c r="J167">
        <v>-1.99</v>
      </c>
      <c r="K167">
        <v>5.67</v>
      </c>
      <c r="L167">
        <v>4.96</v>
      </c>
      <c r="M167" s="33">
        <v>0.26429999999999998</v>
      </c>
      <c r="N167" s="33">
        <v>0.17369999999999999</v>
      </c>
      <c r="O167">
        <v>1.35</v>
      </c>
      <c r="P167" s="33">
        <v>0.21609999999999999</v>
      </c>
      <c r="Q167" s="33">
        <v>0.36009999999999998</v>
      </c>
      <c r="R167" s="34">
        <v>87971.4</v>
      </c>
      <c r="S167" s="34">
        <v>5385610000</v>
      </c>
      <c r="T167">
        <v>1.27</v>
      </c>
      <c r="U167" s="33">
        <v>0.1515</v>
      </c>
    </row>
    <row r="168" spans="1:21" x14ac:dyDescent="0.25">
      <c r="A168" t="s">
        <v>393</v>
      </c>
      <c r="B168">
        <v>7.45</v>
      </c>
      <c r="C168">
        <v>8.49</v>
      </c>
      <c r="D168">
        <v>3.06</v>
      </c>
      <c r="E168">
        <v>1.474</v>
      </c>
      <c r="F168" s="33">
        <v>8.8400000000000006E-2</v>
      </c>
      <c r="G168">
        <v>0.95099999999999996</v>
      </c>
      <c r="H168">
        <v>11.14</v>
      </c>
      <c r="I168">
        <v>5.58</v>
      </c>
      <c r="J168">
        <v>-2.64</v>
      </c>
      <c r="K168">
        <v>7.04</v>
      </c>
      <c r="L168">
        <v>6.16</v>
      </c>
      <c r="M168" s="33">
        <v>0.26429999999999998</v>
      </c>
      <c r="N168" s="33">
        <v>0.17369999999999999</v>
      </c>
      <c r="O168">
        <v>1.35</v>
      </c>
      <c r="P168" s="33">
        <v>0.21609999999999999</v>
      </c>
      <c r="Q168" s="33">
        <v>0.36009999999999998</v>
      </c>
      <c r="R168" s="34">
        <v>177.38</v>
      </c>
      <c r="S168" s="34">
        <v>5385610000</v>
      </c>
      <c r="T168">
        <v>1.27</v>
      </c>
      <c r="U168" s="33">
        <v>0.1515</v>
      </c>
    </row>
    <row r="169" spans="1:21" x14ac:dyDescent="0.25">
      <c r="A169" t="s">
        <v>3</v>
      </c>
      <c r="B169">
        <v>8.0500000000000007</v>
      </c>
      <c r="C169">
        <v>9.17</v>
      </c>
      <c r="D169">
        <v>3.3</v>
      </c>
      <c r="E169">
        <v>1.593</v>
      </c>
      <c r="F169" s="33">
        <v>8.1799999999999998E-2</v>
      </c>
      <c r="G169">
        <v>1.028</v>
      </c>
      <c r="H169">
        <v>12.04</v>
      </c>
      <c r="I169">
        <v>6.03</v>
      </c>
      <c r="J169">
        <v>-2.86</v>
      </c>
      <c r="K169">
        <v>7.49</v>
      </c>
      <c r="L169">
        <v>6.55</v>
      </c>
      <c r="M169" s="33">
        <v>0.26429999999999998</v>
      </c>
      <c r="N169" s="33">
        <v>0.17369999999999999</v>
      </c>
      <c r="O169">
        <v>1.35</v>
      </c>
      <c r="P169" s="33">
        <v>0.21609999999999999</v>
      </c>
      <c r="Q169" s="33">
        <v>0.36009999999999998</v>
      </c>
      <c r="R169" s="34">
        <v>95.83</v>
      </c>
      <c r="S169" s="34">
        <v>5385610000</v>
      </c>
      <c r="T169">
        <v>1.27</v>
      </c>
      <c r="U169" s="33">
        <v>0.1515</v>
      </c>
    </row>
    <row r="170" spans="1:21" x14ac:dyDescent="0.25">
      <c r="A170" t="s">
        <v>81</v>
      </c>
      <c r="B170">
        <v>36.4</v>
      </c>
      <c r="C170">
        <v>14.79</v>
      </c>
      <c r="D170">
        <v>1.7</v>
      </c>
      <c r="E170">
        <v>0.96799999999999997</v>
      </c>
      <c r="F170" s="33">
        <v>2.1700000000000001E-2</v>
      </c>
      <c r="G170">
        <v>0.39500000000000002</v>
      </c>
      <c r="H170">
        <v>8.86</v>
      </c>
      <c r="I170">
        <v>4.62</v>
      </c>
      <c r="J170">
        <v>-0.78</v>
      </c>
      <c r="K170">
        <v>9.06</v>
      </c>
      <c r="L170">
        <v>7.36</v>
      </c>
      <c r="M170" s="33">
        <v>0.20960000000000001</v>
      </c>
      <c r="N170" s="33">
        <v>8.2600000000000007E-2</v>
      </c>
      <c r="O170">
        <v>1.24</v>
      </c>
      <c r="P170" s="33">
        <v>9.8000000000000004E-2</v>
      </c>
      <c r="Q170" s="33">
        <v>0.1153</v>
      </c>
      <c r="R170" s="34">
        <v>289243000</v>
      </c>
      <c r="S170" s="34">
        <v>26784000000</v>
      </c>
      <c r="T170">
        <v>2.0299999999999998</v>
      </c>
      <c r="U170" s="33">
        <v>0.27089999999999997</v>
      </c>
    </row>
    <row r="171" spans="1:21" x14ac:dyDescent="0.25">
      <c r="A171" t="s">
        <v>180</v>
      </c>
      <c r="B171">
        <v>1.02</v>
      </c>
      <c r="C171">
        <v>42.36</v>
      </c>
      <c r="D171">
        <v>0.42</v>
      </c>
      <c r="E171">
        <v>0.35599999999999998</v>
      </c>
      <c r="F171" s="33">
        <v>1.6000000000000001E-3</v>
      </c>
      <c r="G171">
        <v>0.161</v>
      </c>
      <c r="H171">
        <v>1.07</v>
      </c>
      <c r="I171">
        <v>2.48</v>
      </c>
      <c r="J171">
        <v>-1</v>
      </c>
      <c r="K171">
        <v>6.77</v>
      </c>
      <c r="L171">
        <v>4.25</v>
      </c>
      <c r="M171" s="33">
        <v>0.14380000000000001</v>
      </c>
      <c r="N171" s="33">
        <v>7.9000000000000008E-3</v>
      </c>
      <c r="O171">
        <v>1.48</v>
      </c>
      <c r="P171" s="33">
        <v>7.2300000000000003E-2</v>
      </c>
      <c r="Q171" s="33">
        <v>0.01</v>
      </c>
      <c r="R171" s="34">
        <v>576807</v>
      </c>
      <c r="S171" s="34">
        <v>867856000</v>
      </c>
      <c r="T171">
        <v>0.98</v>
      </c>
      <c r="U171" s="33">
        <v>0.1706</v>
      </c>
    </row>
    <row r="172" spans="1:21" x14ac:dyDescent="0.25">
      <c r="A172" t="s">
        <v>394</v>
      </c>
      <c r="B172">
        <v>3.7</v>
      </c>
      <c r="C172">
        <v>-1.1299999999999999</v>
      </c>
      <c r="D172">
        <v>-0.05</v>
      </c>
      <c r="E172">
        <v>0.182</v>
      </c>
      <c r="F172" s="33">
        <v>0</v>
      </c>
      <c r="G172">
        <v>9.0999999999999998E-2</v>
      </c>
      <c r="H172">
        <v>-0.04</v>
      </c>
      <c r="I172">
        <v>-4.46</v>
      </c>
      <c r="J172">
        <v>-0.04</v>
      </c>
      <c r="K172">
        <v>-19.829999999999998</v>
      </c>
      <c r="L172">
        <v>-27.07</v>
      </c>
      <c r="M172" s="33">
        <v>-4.0899999999999999E-2</v>
      </c>
      <c r="N172" s="33">
        <v>-0.16170000000000001</v>
      </c>
      <c r="O172">
        <v>0.14000000000000001</v>
      </c>
      <c r="P172" s="33">
        <v>-2.18E-2</v>
      </c>
      <c r="Q172" s="33">
        <v>4.6300000000000001E-2</v>
      </c>
      <c r="R172" s="34">
        <v>519.1</v>
      </c>
      <c r="S172" s="34">
        <v>-573005000</v>
      </c>
      <c r="T172">
        <v>-0.18</v>
      </c>
      <c r="U172" s="33">
        <v>9.4000000000000004E-3</v>
      </c>
    </row>
    <row r="173" spans="1:21" x14ac:dyDescent="0.25">
      <c r="A173" t="s">
        <v>186</v>
      </c>
      <c r="B173">
        <v>4.03</v>
      </c>
      <c r="C173">
        <v>8.9600000000000009</v>
      </c>
      <c r="D173">
        <v>0.31</v>
      </c>
      <c r="E173">
        <v>0.21099999999999999</v>
      </c>
      <c r="F173" s="33">
        <v>3.1199999999999999E-2</v>
      </c>
      <c r="G173">
        <v>0.191</v>
      </c>
      <c r="H173">
        <v>1.1399999999999999</v>
      </c>
      <c r="I173">
        <v>11.8</v>
      </c>
      <c r="J173">
        <v>20.32</v>
      </c>
      <c r="K173">
        <v>17.09</v>
      </c>
      <c r="L173">
        <v>4.88</v>
      </c>
      <c r="M173" s="33">
        <v>1.7899999999999999E-2</v>
      </c>
      <c r="N173" s="33">
        <v>2.3599999999999999E-2</v>
      </c>
      <c r="O173">
        <v>1.72</v>
      </c>
      <c r="P173" s="33">
        <v>1.78E-2</v>
      </c>
      <c r="Q173" s="33">
        <v>3.49E-2</v>
      </c>
      <c r="R173" s="34">
        <v>372311</v>
      </c>
      <c r="S173" s="34">
        <v>795309000</v>
      </c>
      <c r="T173">
        <v>0.17</v>
      </c>
      <c r="U173" s="33">
        <v>6.88E-2</v>
      </c>
    </row>
    <row r="174" spans="1:21" x14ac:dyDescent="0.25">
      <c r="A174" t="s">
        <v>395</v>
      </c>
      <c r="B174">
        <v>21</v>
      </c>
      <c r="C174">
        <v>8.08</v>
      </c>
      <c r="D174">
        <v>0.73</v>
      </c>
      <c r="E174">
        <v>0.65700000000000003</v>
      </c>
      <c r="F174" s="33">
        <v>3.1800000000000002E-2</v>
      </c>
      <c r="G174">
        <v>0.40100000000000002</v>
      </c>
      <c r="H174">
        <v>1.97</v>
      </c>
      <c r="I174">
        <v>4.4800000000000004</v>
      </c>
      <c r="J174">
        <v>-6.81</v>
      </c>
      <c r="K174">
        <v>5.82</v>
      </c>
      <c r="L174">
        <v>3.84</v>
      </c>
      <c r="M174" s="33">
        <v>0.1467</v>
      </c>
      <c r="N174" s="33">
        <v>8.1299999999999997E-2</v>
      </c>
      <c r="O174">
        <v>2.06</v>
      </c>
      <c r="P174" s="33">
        <v>0.10580000000000001</v>
      </c>
      <c r="Q174" s="33">
        <v>9.0700000000000003E-2</v>
      </c>
      <c r="R174" s="34">
        <v>19754.5</v>
      </c>
      <c r="S174" s="34">
        <v>2652920000</v>
      </c>
      <c r="T174">
        <v>0.4</v>
      </c>
      <c r="U174" s="33">
        <v>9.1399999999999995E-2</v>
      </c>
    </row>
    <row r="175" spans="1:21" x14ac:dyDescent="0.25">
      <c r="A175" t="s">
        <v>11</v>
      </c>
      <c r="B175">
        <v>18.399999999999999</v>
      </c>
      <c r="C175">
        <v>7.08</v>
      </c>
      <c r="D175">
        <v>0.64</v>
      </c>
      <c r="E175">
        <v>0.57499999999999996</v>
      </c>
      <c r="F175" s="33">
        <v>0.04</v>
      </c>
      <c r="G175">
        <v>0.35099999999999998</v>
      </c>
      <c r="H175">
        <v>1.73</v>
      </c>
      <c r="I175">
        <v>3.92</v>
      </c>
      <c r="J175">
        <v>-5.97</v>
      </c>
      <c r="K175">
        <v>5.27</v>
      </c>
      <c r="L175">
        <v>3.48</v>
      </c>
      <c r="M175" s="33">
        <v>0.1467</v>
      </c>
      <c r="N175" s="33">
        <v>8.1299999999999997E-2</v>
      </c>
      <c r="O175">
        <v>2.06</v>
      </c>
      <c r="P175" s="33">
        <v>0.10580000000000001</v>
      </c>
      <c r="Q175" s="33">
        <v>9.0700000000000003E-2</v>
      </c>
      <c r="R175" s="34">
        <v>1138150</v>
      </c>
      <c r="S175" s="34">
        <v>2652920000</v>
      </c>
      <c r="T175">
        <v>0.4</v>
      </c>
      <c r="U175" s="33">
        <v>9.1399999999999995E-2</v>
      </c>
    </row>
    <row r="176" spans="1:21" x14ac:dyDescent="0.25">
      <c r="A176" t="s">
        <v>122</v>
      </c>
      <c r="B176">
        <v>7.11</v>
      </c>
      <c r="C176">
        <v>45.76</v>
      </c>
      <c r="D176">
        <v>0.75</v>
      </c>
      <c r="E176">
        <v>0.77100000000000002</v>
      </c>
      <c r="F176" s="33">
        <v>5.6300000000000003E-2</v>
      </c>
      <c r="G176">
        <v>0.27600000000000002</v>
      </c>
      <c r="H176">
        <v>0.44</v>
      </c>
      <c r="I176">
        <v>4.87</v>
      </c>
      <c r="J176">
        <v>1.17</v>
      </c>
      <c r="K176">
        <v>5.72</v>
      </c>
      <c r="L176">
        <v>5.65</v>
      </c>
      <c r="M176" s="33">
        <v>0.15820000000000001</v>
      </c>
      <c r="N176" s="33">
        <v>5.6500000000000002E-2</v>
      </c>
      <c r="O176">
        <v>4.38</v>
      </c>
      <c r="P176" s="33">
        <v>6.93E-2</v>
      </c>
      <c r="Q176" s="33">
        <v>1.6500000000000001E-2</v>
      </c>
      <c r="R176" s="34">
        <v>6244090</v>
      </c>
      <c r="S176" s="34">
        <v>1885180000</v>
      </c>
      <c r="T176">
        <v>0.59</v>
      </c>
      <c r="U176" s="33">
        <v>2.75E-2</v>
      </c>
    </row>
    <row r="177" spans="1:21" x14ac:dyDescent="0.25">
      <c r="A177" t="s">
        <v>90</v>
      </c>
      <c r="B177">
        <v>13.29</v>
      </c>
      <c r="C177">
        <v>6.64</v>
      </c>
      <c r="D177">
        <v>0.6</v>
      </c>
      <c r="E177">
        <v>1.7989999999999999</v>
      </c>
      <c r="F177" s="33">
        <v>8.7999999999999995E-2</v>
      </c>
      <c r="G177">
        <v>0.42199999999999999</v>
      </c>
      <c r="H177">
        <v>1.1100000000000001</v>
      </c>
      <c r="I177">
        <v>9.58</v>
      </c>
      <c r="J177">
        <v>2.76</v>
      </c>
      <c r="K177">
        <v>10.87</v>
      </c>
      <c r="L177">
        <v>10.01</v>
      </c>
      <c r="M177" s="33">
        <v>0.18779999999999999</v>
      </c>
      <c r="N177" s="33">
        <v>0.28749999999999998</v>
      </c>
      <c r="O177">
        <v>7.71</v>
      </c>
      <c r="P177" s="33">
        <v>5.3499999999999999E-2</v>
      </c>
      <c r="Q177" s="33">
        <v>9.0200000000000002E-2</v>
      </c>
      <c r="R177" s="34">
        <v>22082500</v>
      </c>
      <c r="S177" s="34">
        <v>4898440000</v>
      </c>
      <c r="T177">
        <v>0.32</v>
      </c>
      <c r="U177" s="33">
        <v>0.1333</v>
      </c>
    </row>
    <row r="178" spans="1:21" x14ac:dyDescent="0.25">
      <c r="A178" t="s">
        <v>396</v>
      </c>
      <c r="B178">
        <v>12.35</v>
      </c>
      <c r="C178">
        <v>14.05</v>
      </c>
      <c r="D178">
        <v>1.3</v>
      </c>
      <c r="E178">
        <v>1.9159999999999999</v>
      </c>
      <c r="F178" s="33">
        <v>3.6799999999999999E-2</v>
      </c>
      <c r="G178">
        <v>1.006</v>
      </c>
      <c r="H178">
        <v>3.86</v>
      </c>
      <c r="I178">
        <v>21.06</v>
      </c>
      <c r="J178">
        <v>6.21</v>
      </c>
      <c r="K178">
        <v>18.71</v>
      </c>
      <c r="L178">
        <v>8.14</v>
      </c>
      <c r="M178" s="33">
        <v>9.0999999999999998E-2</v>
      </c>
      <c r="N178" s="33">
        <v>0.13650000000000001</v>
      </c>
      <c r="O178">
        <v>3.09</v>
      </c>
      <c r="P178" s="33">
        <v>6.1600000000000002E-2</v>
      </c>
      <c r="Q178" s="33">
        <v>9.2299999999999993E-2</v>
      </c>
      <c r="R178" s="34">
        <v>3248.67</v>
      </c>
      <c r="S178" s="34">
        <v>3363440000</v>
      </c>
      <c r="T178">
        <v>0.1</v>
      </c>
      <c r="U178" s="33">
        <v>3.2500000000000001E-2</v>
      </c>
    </row>
    <row r="179" spans="1:21" x14ac:dyDescent="0.25">
      <c r="A179" t="s">
        <v>252</v>
      </c>
      <c r="B179">
        <v>7.02</v>
      </c>
      <c r="C179">
        <v>7.98</v>
      </c>
      <c r="D179">
        <v>0.74</v>
      </c>
      <c r="E179">
        <v>1.089</v>
      </c>
      <c r="F179" s="33">
        <v>7.1300000000000002E-2</v>
      </c>
      <c r="G179">
        <v>0.57199999999999995</v>
      </c>
      <c r="H179">
        <v>2.19</v>
      </c>
      <c r="I179">
        <v>11.97</v>
      </c>
      <c r="J179">
        <v>3.53</v>
      </c>
      <c r="K179">
        <v>9.6199999999999992</v>
      </c>
      <c r="L179">
        <v>4.1900000000000004</v>
      </c>
      <c r="M179" s="33">
        <v>9.0999999999999998E-2</v>
      </c>
      <c r="N179" s="33">
        <v>0.13650000000000001</v>
      </c>
      <c r="O179">
        <v>3.09</v>
      </c>
      <c r="P179" s="33">
        <v>6.1600000000000002E-2</v>
      </c>
      <c r="Q179" s="33">
        <v>9.2299999999999993E-2</v>
      </c>
      <c r="R179" s="34">
        <v>3890210</v>
      </c>
      <c r="S179" s="34">
        <v>3363440000</v>
      </c>
      <c r="T179">
        <v>0.1</v>
      </c>
      <c r="U179" s="33">
        <v>3.2500000000000001E-2</v>
      </c>
    </row>
    <row r="180" spans="1:21" x14ac:dyDescent="0.25">
      <c r="A180" t="s">
        <v>227</v>
      </c>
      <c r="B180">
        <v>3.93</v>
      </c>
      <c r="C180">
        <v>-0.22</v>
      </c>
      <c r="D180">
        <v>-0.19</v>
      </c>
      <c r="E180">
        <v>4.7E-2</v>
      </c>
      <c r="F180" s="33">
        <v>0</v>
      </c>
      <c r="G180">
        <v>7.2999999999999995E-2</v>
      </c>
      <c r="H180">
        <v>-0.51</v>
      </c>
      <c r="I180">
        <v>-1.01</v>
      </c>
      <c r="J180">
        <v>-0.11</v>
      </c>
      <c r="K180">
        <v>-7.0000000000000007E-2</v>
      </c>
      <c r="L180">
        <v>-0.09</v>
      </c>
      <c r="M180" s="33">
        <v>-4.6100000000000002E-2</v>
      </c>
      <c r="N180" s="33">
        <v>-0.20930000000000001</v>
      </c>
      <c r="O180">
        <v>0.83</v>
      </c>
      <c r="P180" s="33">
        <v>-0.39689999999999998</v>
      </c>
      <c r="Q180" s="33">
        <v>0.87439999999999996</v>
      </c>
      <c r="R180" s="34">
        <v>228503</v>
      </c>
      <c r="S180" s="34">
        <v>-1087650000</v>
      </c>
      <c r="T180">
        <v>-0.02</v>
      </c>
      <c r="U180" s="33">
        <v>0.1242</v>
      </c>
    </row>
    <row r="181" spans="1:21" x14ac:dyDescent="0.25">
      <c r="A181" t="s">
        <v>397</v>
      </c>
      <c r="B181">
        <v>3.59</v>
      </c>
      <c r="C181">
        <v>-3.5</v>
      </c>
      <c r="D181">
        <v>-9.39</v>
      </c>
      <c r="E181">
        <v>-7.0839999999999996</v>
      </c>
      <c r="F181" s="33">
        <v>0</v>
      </c>
      <c r="G181">
        <v>19.225999999999999</v>
      </c>
      <c r="H181">
        <v>-65.790000000000006</v>
      </c>
      <c r="I181">
        <v>-17.12</v>
      </c>
      <c r="J181">
        <v>-6.33</v>
      </c>
      <c r="K181">
        <v>-17.989999999999998</v>
      </c>
      <c r="L181">
        <v>-17.16</v>
      </c>
      <c r="M181" s="33">
        <v>0.41389999999999999</v>
      </c>
      <c r="N181" s="33">
        <v>2.0249999999999999</v>
      </c>
      <c r="O181">
        <v>0.03</v>
      </c>
      <c r="P181" s="33">
        <v>-1.1304000000000001</v>
      </c>
      <c r="Q181" s="33">
        <v>2.6833999999999998</v>
      </c>
      <c r="R181" s="34">
        <v>115181</v>
      </c>
      <c r="S181" s="34">
        <v>-9103000</v>
      </c>
      <c r="T181">
        <v>-0.48</v>
      </c>
      <c r="U181" s="33">
        <v>-0.1394</v>
      </c>
    </row>
    <row r="182" spans="1:21" x14ac:dyDescent="0.25">
      <c r="A182" t="s">
        <v>398</v>
      </c>
      <c r="B182">
        <v>11.97</v>
      </c>
      <c r="C182">
        <v>-45.58</v>
      </c>
      <c r="D182">
        <v>0.36</v>
      </c>
      <c r="E182">
        <v>11.564</v>
      </c>
      <c r="F182" s="33">
        <v>0</v>
      </c>
      <c r="G182">
        <v>0.27500000000000002</v>
      </c>
      <c r="H182">
        <v>2.69</v>
      </c>
      <c r="I182">
        <v>-4.8899999999999997</v>
      </c>
      <c r="J182">
        <v>-5.9</v>
      </c>
      <c r="K182">
        <v>-6.77</v>
      </c>
      <c r="L182">
        <v>-7.2</v>
      </c>
      <c r="M182" s="33">
        <v>-2.3645999999999998</v>
      </c>
      <c r="N182" s="33">
        <v>-0.25490000000000002</v>
      </c>
      <c r="O182">
        <v>2.0499999999999998</v>
      </c>
      <c r="P182" s="33">
        <v>-5.9299999999999999E-2</v>
      </c>
      <c r="Q182" s="33">
        <v>-8.0000000000000002E-3</v>
      </c>
      <c r="R182" s="34">
        <v>33961.800000000003</v>
      </c>
      <c r="S182" s="34">
        <v>79440000</v>
      </c>
      <c r="T182">
        <v>0.15</v>
      </c>
      <c r="U182" s="33">
        <v>-2.1299999999999999E-2</v>
      </c>
    </row>
    <row r="183" spans="1:21" x14ac:dyDescent="0.25">
      <c r="A183" t="s">
        <v>399</v>
      </c>
      <c r="B183">
        <v>3.85</v>
      </c>
      <c r="C183">
        <v>8.01</v>
      </c>
      <c r="D183">
        <v>1.1399999999999999</v>
      </c>
      <c r="E183">
        <v>1.333</v>
      </c>
      <c r="F183" s="33">
        <v>6.6199999999999995E-2</v>
      </c>
      <c r="G183">
        <v>0.60099999999999998</v>
      </c>
      <c r="H183">
        <v>6.07</v>
      </c>
      <c r="I183">
        <v>5.56</v>
      </c>
      <c r="J183">
        <v>-3.1</v>
      </c>
      <c r="K183">
        <v>6.19</v>
      </c>
      <c r="L183">
        <v>3.15</v>
      </c>
      <c r="M183" s="33">
        <v>0.23960000000000001</v>
      </c>
      <c r="N183" s="33">
        <v>0.16639999999999999</v>
      </c>
      <c r="O183">
        <v>1.55</v>
      </c>
      <c r="P183" s="33">
        <v>0.1351</v>
      </c>
      <c r="Q183" s="33">
        <v>0.14269999999999999</v>
      </c>
      <c r="R183" s="34">
        <v>1436000</v>
      </c>
      <c r="S183" s="34">
        <v>1220080000</v>
      </c>
      <c r="T183">
        <v>0.47</v>
      </c>
      <c r="U183" s="33">
        <v>0.2616</v>
      </c>
    </row>
    <row r="184" spans="1:21" x14ac:dyDescent="0.25">
      <c r="A184" t="s">
        <v>51</v>
      </c>
      <c r="B184">
        <v>13.02</v>
      </c>
      <c r="C184">
        <v>11.35</v>
      </c>
      <c r="D184">
        <v>1.36</v>
      </c>
      <c r="E184">
        <v>0.91400000000000003</v>
      </c>
      <c r="F184" s="33">
        <v>7.8100000000000003E-2</v>
      </c>
      <c r="G184">
        <v>0.53700000000000003</v>
      </c>
      <c r="H184">
        <v>2.71</v>
      </c>
      <c r="I184">
        <v>5.93</v>
      </c>
      <c r="J184">
        <v>-2.17</v>
      </c>
      <c r="K184">
        <v>8.4600000000000009</v>
      </c>
      <c r="L184">
        <v>5.07</v>
      </c>
      <c r="M184" s="33">
        <v>0.154</v>
      </c>
      <c r="N184" s="33">
        <v>7.8399999999999997E-2</v>
      </c>
      <c r="O184">
        <v>2.29</v>
      </c>
      <c r="P184" s="33">
        <v>0.11849999999999999</v>
      </c>
      <c r="Q184" s="33">
        <v>0.1201</v>
      </c>
      <c r="R184" s="34">
        <v>37153900</v>
      </c>
      <c r="S184" s="34">
        <v>5226800000</v>
      </c>
      <c r="T184">
        <v>1.05</v>
      </c>
      <c r="U184" s="33">
        <v>0.26790000000000003</v>
      </c>
    </row>
    <row r="185" spans="1:21" x14ac:dyDescent="0.25">
      <c r="A185" t="s">
        <v>65</v>
      </c>
      <c r="B185">
        <v>27.03</v>
      </c>
      <c r="C185">
        <v>22.26</v>
      </c>
      <c r="D185">
        <v>3.42</v>
      </c>
      <c r="E185">
        <v>1.6379999999999999</v>
      </c>
      <c r="F185" s="33">
        <v>1.9199999999999998E-2</v>
      </c>
      <c r="G185">
        <v>1.0840000000000001</v>
      </c>
      <c r="H185">
        <v>4.09</v>
      </c>
      <c r="I185">
        <v>11.03</v>
      </c>
      <c r="J185">
        <v>-5.67</v>
      </c>
      <c r="K185">
        <v>14.08</v>
      </c>
      <c r="L185">
        <v>10.94</v>
      </c>
      <c r="M185" s="33">
        <v>0.14849999999999999</v>
      </c>
      <c r="N185" s="33">
        <v>7.5300000000000006E-2</v>
      </c>
      <c r="O185">
        <v>2.19</v>
      </c>
      <c r="P185" s="33">
        <v>0.123</v>
      </c>
      <c r="Q185" s="33">
        <v>0.15379999999999999</v>
      </c>
      <c r="R185" s="34">
        <v>10795200</v>
      </c>
      <c r="S185" s="34">
        <v>2131360000</v>
      </c>
      <c r="T185">
        <v>1.28</v>
      </c>
      <c r="U185" s="33">
        <v>0.2069</v>
      </c>
    </row>
    <row r="186" spans="1:21" x14ac:dyDescent="0.25">
      <c r="A186" t="s">
        <v>400</v>
      </c>
      <c r="B186">
        <v>279.98</v>
      </c>
      <c r="C186">
        <v>-78.44</v>
      </c>
      <c r="D186">
        <v>5.37</v>
      </c>
      <c r="E186">
        <v>0.76600000000000001</v>
      </c>
      <c r="F186" s="33">
        <v>0</v>
      </c>
      <c r="G186">
        <v>0.91200000000000003</v>
      </c>
      <c r="H186">
        <v>7.1</v>
      </c>
      <c r="I186">
        <v>19.47</v>
      </c>
      <c r="J186">
        <v>-8.7799999999999994</v>
      </c>
      <c r="K186">
        <v>27.34</v>
      </c>
      <c r="L186">
        <v>15.08</v>
      </c>
      <c r="M186" s="33">
        <v>3.9300000000000002E-2</v>
      </c>
      <c r="N186" s="33">
        <v>-1.43E-2</v>
      </c>
      <c r="O186">
        <v>1.23</v>
      </c>
      <c r="P186" s="33">
        <v>6.7299999999999999E-2</v>
      </c>
      <c r="Q186" s="33">
        <v>-6.8400000000000002E-2</v>
      </c>
      <c r="R186" s="34">
        <v>7288</v>
      </c>
      <c r="S186" s="34">
        <v>327983000</v>
      </c>
      <c r="T186">
        <v>2.5</v>
      </c>
      <c r="U186" s="33">
        <v>7.6799999999999993E-2</v>
      </c>
    </row>
    <row r="187" spans="1:21" x14ac:dyDescent="0.25">
      <c r="A187" t="s">
        <v>401</v>
      </c>
      <c r="B187">
        <v>36</v>
      </c>
      <c r="C187">
        <v>35</v>
      </c>
      <c r="D187">
        <v>2.0099999999999998</v>
      </c>
      <c r="E187">
        <v>9.7309999999999999</v>
      </c>
      <c r="F187" s="33">
        <v>0.1948</v>
      </c>
      <c r="G187">
        <v>0.96699999999999997</v>
      </c>
      <c r="H187">
        <v>-9.1199999999999992</v>
      </c>
      <c r="I187">
        <v>20.57</v>
      </c>
      <c r="J187">
        <v>-2.88</v>
      </c>
      <c r="K187">
        <v>21.72</v>
      </c>
      <c r="L187">
        <v>15.43</v>
      </c>
      <c r="M187" s="33">
        <v>0.47299999999999998</v>
      </c>
      <c r="N187" s="33">
        <v>0.27810000000000001</v>
      </c>
      <c r="O187">
        <v>0.63</v>
      </c>
      <c r="P187" s="33">
        <v>6.2899999999999998E-2</v>
      </c>
      <c r="Q187" s="33">
        <v>5.74E-2</v>
      </c>
      <c r="R187" s="34">
        <v>4348.05</v>
      </c>
      <c r="S187" s="34">
        <v>1691660000</v>
      </c>
      <c r="T187">
        <v>0.37</v>
      </c>
      <c r="U187" s="33">
        <v>-0.25559999999999999</v>
      </c>
    </row>
    <row r="188" spans="1:21" x14ac:dyDescent="0.25">
      <c r="A188" t="s">
        <v>402</v>
      </c>
      <c r="B188">
        <v>35.32</v>
      </c>
      <c r="C188">
        <v>34.340000000000003</v>
      </c>
      <c r="D188">
        <v>1.97</v>
      </c>
      <c r="E188">
        <v>9.5470000000000006</v>
      </c>
      <c r="F188" s="33">
        <v>0.1986</v>
      </c>
      <c r="G188">
        <v>0.94799999999999995</v>
      </c>
      <c r="H188">
        <v>-8.9499999999999993</v>
      </c>
      <c r="I188">
        <v>20.18</v>
      </c>
      <c r="J188">
        <v>-2.82</v>
      </c>
      <c r="K188">
        <v>21.33</v>
      </c>
      <c r="L188">
        <v>15.15</v>
      </c>
      <c r="M188" s="33">
        <v>0.47299999999999998</v>
      </c>
      <c r="N188" s="33">
        <v>0.27810000000000001</v>
      </c>
      <c r="O188">
        <v>0.63</v>
      </c>
      <c r="P188" s="33">
        <v>6.2899999999999998E-2</v>
      </c>
      <c r="Q188" s="33">
        <v>5.74E-2</v>
      </c>
      <c r="R188" s="34">
        <v>15002</v>
      </c>
      <c r="S188" s="34">
        <v>1691660000</v>
      </c>
      <c r="T188">
        <v>0.37</v>
      </c>
      <c r="U188" s="33">
        <v>-0.25559999999999999</v>
      </c>
    </row>
    <row r="189" spans="1:21" x14ac:dyDescent="0.25">
      <c r="A189" t="s">
        <v>228</v>
      </c>
      <c r="B189">
        <v>1.24</v>
      </c>
      <c r="C189">
        <v>-4.25</v>
      </c>
      <c r="D189">
        <v>0.08</v>
      </c>
      <c r="E189">
        <v>0.16900000000000001</v>
      </c>
      <c r="F189" s="33">
        <v>0</v>
      </c>
      <c r="G189">
        <v>3.4000000000000002E-2</v>
      </c>
      <c r="H189">
        <v>0.14000000000000001</v>
      </c>
      <c r="I189">
        <v>-0.86</v>
      </c>
      <c r="J189">
        <v>-3.62</v>
      </c>
      <c r="K189">
        <v>-7.81</v>
      </c>
      <c r="L189">
        <v>-8.4499999999999993</v>
      </c>
      <c r="M189" s="33">
        <v>-0.1966</v>
      </c>
      <c r="N189" s="33">
        <v>-0.04</v>
      </c>
      <c r="O189">
        <v>1.67</v>
      </c>
      <c r="P189" s="33">
        <v>-4.1599999999999998E-2</v>
      </c>
      <c r="Q189" s="33">
        <v>-1.9699999999999999E-2</v>
      </c>
      <c r="R189" s="34">
        <v>8055410</v>
      </c>
      <c r="S189" s="34">
        <v>1995250000</v>
      </c>
      <c r="T189">
        <v>0.75</v>
      </c>
      <c r="U189" s="33">
        <v>2.4199999999999999E-2</v>
      </c>
    </row>
    <row r="190" spans="1:21" x14ac:dyDescent="0.25">
      <c r="A190" t="s">
        <v>33</v>
      </c>
      <c r="B190">
        <v>14.96</v>
      </c>
      <c r="C190">
        <v>9.27</v>
      </c>
      <c r="D190">
        <v>0.54</v>
      </c>
      <c r="E190">
        <v>0.44500000000000001</v>
      </c>
      <c r="F190" s="33">
        <v>4.4200000000000003E-2</v>
      </c>
      <c r="G190">
        <v>0.35499999999999998</v>
      </c>
      <c r="H190">
        <v>1.52</v>
      </c>
      <c r="I190">
        <v>4.6500000000000004</v>
      </c>
      <c r="J190">
        <v>10.69</v>
      </c>
      <c r="K190">
        <v>5.82</v>
      </c>
      <c r="L190">
        <v>3.88</v>
      </c>
      <c r="M190" s="33">
        <v>9.5600000000000004E-2</v>
      </c>
      <c r="N190" s="33">
        <v>4.8500000000000001E-2</v>
      </c>
      <c r="O190">
        <v>2.64</v>
      </c>
      <c r="P190" s="33">
        <v>9.0200000000000002E-2</v>
      </c>
      <c r="Q190" s="33">
        <v>5.8400000000000001E-2</v>
      </c>
      <c r="R190" s="34">
        <v>692825</v>
      </c>
      <c r="S190" s="34">
        <v>56017100000</v>
      </c>
      <c r="T190">
        <v>0.26</v>
      </c>
      <c r="U190" s="33">
        <v>3.73E-2</v>
      </c>
    </row>
    <row r="191" spans="1:21" x14ac:dyDescent="0.25">
      <c r="A191" t="s">
        <v>48</v>
      </c>
      <c r="B191">
        <v>16.760000000000002</v>
      </c>
      <c r="C191">
        <v>10.39</v>
      </c>
      <c r="D191">
        <v>0.61</v>
      </c>
      <c r="E191">
        <v>0.498</v>
      </c>
      <c r="F191" s="33">
        <v>3.9399999999999998E-2</v>
      </c>
      <c r="G191">
        <v>0.39700000000000002</v>
      </c>
      <c r="H191">
        <v>1.7</v>
      </c>
      <c r="I191">
        <v>5.21</v>
      </c>
      <c r="J191">
        <v>11.98</v>
      </c>
      <c r="K191">
        <v>6.38</v>
      </c>
      <c r="L191">
        <v>4.25</v>
      </c>
      <c r="M191" s="33">
        <v>9.5600000000000004E-2</v>
      </c>
      <c r="N191" s="33">
        <v>4.8500000000000001E-2</v>
      </c>
      <c r="O191">
        <v>2.64</v>
      </c>
      <c r="P191" s="33">
        <v>9.0200000000000002E-2</v>
      </c>
      <c r="Q191" s="33">
        <v>5.8400000000000001E-2</v>
      </c>
      <c r="R191" s="34">
        <v>193478000</v>
      </c>
      <c r="S191" s="34">
        <v>56017100000</v>
      </c>
      <c r="T191">
        <v>0.26</v>
      </c>
      <c r="U191" s="33">
        <v>3.73E-2</v>
      </c>
    </row>
    <row r="192" spans="1:21" x14ac:dyDescent="0.25">
      <c r="A192" t="s">
        <v>99</v>
      </c>
      <c r="B192">
        <v>14.85</v>
      </c>
      <c r="C192">
        <v>15.1</v>
      </c>
      <c r="D192">
        <v>2.74</v>
      </c>
      <c r="E192">
        <v>0.63600000000000001</v>
      </c>
      <c r="F192" s="33">
        <v>2.1700000000000001E-2</v>
      </c>
      <c r="G192">
        <v>0.69399999999999995</v>
      </c>
      <c r="H192">
        <v>2.29</v>
      </c>
      <c r="I192">
        <v>8.35</v>
      </c>
      <c r="J192">
        <v>-3.22</v>
      </c>
      <c r="K192">
        <v>10</v>
      </c>
      <c r="L192">
        <v>7.42</v>
      </c>
      <c r="M192" s="33">
        <v>7.6200000000000004E-2</v>
      </c>
      <c r="N192" s="33">
        <v>4.2700000000000002E-2</v>
      </c>
      <c r="O192">
        <v>2.34</v>
      </c>
      <c r="P192" s="33">
        <v>0.1101</v>
      </c>
      <c r="Q192" s="33">
        <v>0.18149999999999999</v>
      </c>
      <c r="R192" s="34">
        <v>56167600</v>
      </c>
      <c r="S192" s="34">
        <v>3670500000</v>
      </c>
      <c r="T192">
        <v>1.38</v>
      </c>
      <c r="U192" s="33">
        <v>0.28439999999999999</v>
      </c>
    </row>
    <row r="193" spans="1:21" x14ac:dyDescent="0.25">
      <c r="A193" t="s">
        <v>139</v>
      </c>
      <c r="B193">
        <v>7.78</v>
      </c>
      <c r="C193">
        <v>12.54</v>
      </c>
      <c r="D193">
        <v>1.75</v>
      </c>
      <c r="E193">
        <v>0.53</v>
      </c>
      <c r="F193" s="33">
        <v>2.6700000000000002E-2</v>
      </c>
      <c r="G193">
        <v>0.87</v>
      </c>
      <c r="H193">
        <v>2.38</v>
      </c>
      <c r="I193">
        <v>7.82</v>
      </c>
      <c r="J193">
        <v>6.74</v>
      </c>
      <c r="K193">
        <v>8.09</v>
      </c>
      <c r="L193">
        <v>6.93</v>
      </c>
      <c r="M193" s="33">
        <v>6.7699999999999996E-2</v>
      </c>
      <c r="N193" s="33">
        <v>4.2799999999999998E-2</v>
      </c>
      <c r="O193">
        <v>2.4</v>
      </c>
      <c r="P193" s="33">
        <v>0.1507</v>
      </c>
      <c r="Q193" s="33">
        <v>0.13930000000000001</v>
      </c>
      <c r="R193" s="34">
        <v>26301800</v>
      </c>
      <c r="S193" s="34">
        <v>10013600000</v>
      </c>
      <c r="T193">
        <v>0.21</v>
      </c>
      <c r="U193" s="33">
        <v>0.26050000000000001</v>
      </c>
    </row>
    <row r="194" spans="1:21" x14ac:dyDescent="0.25">
      <c r="A194" t="s">
        <v>43</v>
      </c>
      <c r="B194">
        <v>9.2200000000000006</v>
      </c>
      <c r="C194">
        <v>8.1999999999999993</v>
      </c>
      <c r="D194">
        <v>0.47</v>
      </c>
      <c r="E194">
        <v>0.13400000000000001</v>
      </c>
      <c r="F194" s="33">
        <v>3.7900000000000003E-2</v>
      </c>
      <c r="G194">
        <v>0.107</v>
      </c>
      <c r="H194">
        <v>0.46</v>
      </c>
      <c r="I194">
        <v>1.41</v>
      </c>
      <c r="J194">
        <v>3.17</v>
      </c>
      <c r="K194">
        <v>2.58</v>
      </c>
      <c r="L194">
        <v>1.72</v>
      </c>
      <c r="M194" s="33">
        <v>9.5399999999999999E-2</v>
      </c>
      <c r="N194" s="33">
        <v>4.8599999999999997E-2</v>
      </c>
      <c r="O194">
        <v>2.64</v>
      </c>
      <c r="P194" s="33">
        <v>0.09</v>
      </c>
      <c r="Q194" s="33">
        <v>5.74E-2</v>
      </c>
      <c r="R194" s="34">
        <v>290344</v>
      </c>
      <c r="S194" s="34">
        <v>19459900000</v>
      </c>
      <c r="T194">
        <v>0.75</v>
      </c>
      <c r="U194" s="33">
        <v>3.73E-2</v>
      </c>
    </row>
    <row r="195" spans="1:21" x14ac:dyDescent="0.25">
      <c r="A195" t="s">
        <v>133</v>
      </c>
      <c r="B195">
        <v>9.19</v>
      </c>
      <c r="C195">
        <v>8.18</v>
      </c>
      <c r="D195">
        <v>0.47</v>
      </c>
      <c r="E195">
        <v>0.13400000000000001</v>
      </c>
      <c r="F195" s="33">
        <v>3.8100000000000002E-2</v>
      </c>
      <c r="G195">
        <v>0.107</v>
      </c>
      <c r="H195">
        <v>0.46</v>
      </c>
      <c r="I195">
        <v>1.4</v>
      </c>
      <c r="J195">
        <v>3.16</v>
      </c>
      <c r="K195">
        <v>2.57</v>
      </c>
      <c r="L195">
        <v>1.71</v>
      </c>
      <c r="M195" s="33">
        <v>9.5399999999999999E-2</v>
      </c>
      <c r="N195" s="33">
        <v>4.8599999999999997E-2</v>
      </c>
      <c r="O195">
        <v>2.64</v>
      </c>
      <c r="P195" s="33">
        <v>0.09</v>
      </c>
      <c r="Q195" s="33">
        <v>5.74E-2</v>
      </c>
      <c r="R195" s="34">
        <v>83470000</v>
      </c>
      <c r="S195" s="34">
        <v>19459900000</v>
      </c>
      <c r="T195">
        <v>0.75</v>
      </c>
      <c r="U195" s="33">
        <v>3.73E-2</v>
      </c>
    </row>
    <row r="196" spans="1:21" x14ac:dyDescent="0.25">
      <c r="A196" t="s">
        <v>250</v>
      </c>
      <c r="B196">
        <v>0.79</v>
      </c>
      <c r="C196">
        <v>-112.13</v>
      </c>
      <c r="D196">
        <v>-34.340000000000003</v>
      </c>
      <c r="E196">
        <v>47.427</v>
      </c>
      <c r="F196" s="33">
        <v>0</v>
      </c>
      <c r="G196">
        <v>40.497999999999998</v>
      </c>
      <c r="H196">
        <v>-49.36</v>
      </c>
      <c r="I196" s="34">
        <v>-1785.15</v>
      </c>
      <c r="J196">
        <v>-21.29</v>
      </c>
      <c r="K196" s="34">
        <v>-1822.83</v>
      </c>
      <c r="L196">
        <v>595.66</v>
      </c>
      <c r="M196" s="33">
        <v>-2.6599999999999999E-2</v>
      </c>
      <c r="N196" s="33">
        <v>-0.42299999999999999</v>
      </c>
      <c r="O196">
        <v>0.25</v>
      </c>
      <c r="P196" s="33">
        <v>-2.7799999999999998E-2</v>
      </c>
      <c r="Q196" s="33">
        <v>0.30630000000000002</v>
      </c>
      <c r="R196" s="34">
        <v>19211600</v>
      </c>
      <c r="S196" s="34">
        <v>-27683900000</v>
      </c>
      <c r="T196">
        <v>-0.79</v>
      </c>
      <c r="U196" s="33">
        <v>0.43</v>
      </c>
    </row>
    <row r="197" spans="1:21" x14ac:dyDescent="0.25">
      <c r="A197" t="s">
        <v>403</v>
      </c>
      <c r="B197">
        <v>22.9</v>
      </c>
      <c r="C197">
        <v>55.5</v>
      </c>
      <c r="D197">
        <v>2.31</v>
      </c>
      <c r="E197">
        <v>56.457999999999998</v>
      </c>
      <c r="F197" s="33">
        <v>0</v>
      </c>
      <c r="G197">
        <v>2.1150000000000002</v>
      </c>
      <c r="H197">
        <v>6.26</v>
      </c>
      <c r="I197">
        <v>-100.73</v>
      </c>
      <c r="J197">
        <v>7.97</v>
      </c>
      <c r="K197">
        <v>-87.92</v>
      </c>
      <c r="L197">
        <v>-97.9</v>
      </c>
      <c r="M197" s="33">
        <v>-0.5605</v>
      </c>
      <c r="N197" s="33">
        <v>1.0183</v>
      </c>
      <c r="O197">
        <v>29.82</v>
      </c>
      <c r="P197" s="33">
        <v>-2.93E-2</v>
      </c>
      <c r="Q197" s="33">
        <v>4.1599999999999998E-2</v>
      </c>
      <c r="R197" s="34">
        <v>114.05</v>
      </c>
      <c r="S197" s="34">
        <v>789920000</v>
      </c>
      <c r="T197">
        <v>0.02</v>
      </c>
      <c r="U197" s="33">
        <v>-0.54990000000000006</v>
      </c>
    </row>
    <row r="198" spans="1:21" x14ac:dyDescent="0.25">
      <c r="A198" t="s">
        <v>404</v>
      </c>
      <c r="B198">
        <v>3.81</v>
      </c>
      <c r="C198">
        <v>-1.38</v>
      </c>
      <c r="D198">
        <v>0.19</v>
      </c>
      <c r="E198">
        <v>-3.9140000000000001</v>
      </c>
      <c r="F198" s="33">
        <v>0</v>
      </c>
      <c r="G198">
        <v>9.6000000000000002E-2</v>
      </c>
      <c r="H198">
        <v>1.02</v>
      </c>
      <c r="I198">
        <v>-1.8</v>
      </c>
      <c r="J198">
        <v>-3.66</v>
      </c>
      <c r="K198">
        <v>0.48</v>
      </c>
      <c r="L198">
        <v>0.48</v>
      </c>
      <c r="M198" s="33">
        <v>2.1772999999999998</v>
      </c>
      <c r="N198" s="33">
        <v>5.7458999999999998</v>
      </c>
      <c r="O198">
        <v>2.74</v>
      </c>
      <c r="P198" s="33">
        <v>-6.2399999999999997E-2</v>
      </c>
      <c r="Q198" s="33">
        <v>-0.1384</v>
      </c>
      <c r="R198" s="34">
        <v>22321.7</v>
      </c>
      <c r="S198" s="34">
        <v>1347650000</v>
      </c>
      <c r="T198">
        <v>0.03</v>
      </c>
      <c r="U198" s="33">
        <v>-9.7500000000000003E-2</v>
      </c>
    </row>
    <row r="199" spans="1:21" x14ac:dyDescent="0.25">
      <c r="A199" t="s">
        <v>75</v>
      </c>
      <c r="B199">
        <v>5.5</v>
      </c>
      <c r="C199">
        <v>7</v>
      </c>
      <c r="D199">
        <v>1.26</v>
      </c>
      <c r="E199">
        <v>1.87</v>
      </c>
      <c r="F199" s="33">
        <v>8.7900000000000006E-2</v>
      </c>
      <c r="G199">
        <v>1.0609999999999999</v>
      </c>
      <c r="H199">
        <v>1.98</v>
      </c>
      <c r="I199">
        <v>10.02</v>
      </c>
      <c r="J199">
        <v>2</v>
      </c>
      <c r="K199">
        <v>7.16</v>
      </c>
      <c r="L199">
        <v>6.26</v>
      </c>
      <c r="M199" s="33">
        <v>0.1867</v>
      </c>
      <c r="N199" s="33">
        <v>0.26719999999999999</v>
      </c>
      <c r="O199">
        <v>4.47</v>
      </c>
      <c r="P199" s="33">
        <v>0.16539999999999999</v>
      </c>
      <c r="Q199" s="33">
        <v>0.1802</v>
      </c>
      <c r="R199" s="34">
        <v>14449600</v>
      </c>
      <c r="S199" s="34">
        <v>3934740000</v>
      </c>
      <c r="T199">
        <v>0.05</v>
      </c>
      <c r="U199" s="33">
        <v>5.8200000000000002E-2</v>
      </c>
    </row>
    <row r="200" spans="1:21" x14ac:dyDescent="0.25">
      <c r="A200" t="s">
        <v>405</v>
      </c>
      <c r="B200">
        <v>4.5999999999999996</v>
      </c>
      <c r="C200">
        <v>-0.02</v>
      </c>
      <c r="D200">
        <v>-0.01</v>
      </c>
      <c r="E200">
        <v>4.8000000000000001E-2</v>
      </c>
      <c r="F200" s="33">
        <v>0</v>
      </c>
      <c r="G200">
        <v>7.0000000000000001E-3</v>
      </c>
      <c r="H200">
        <v>-0.55000000000000004</v>
      </c>
      <c r="I200">
        <v>0.16</v>
      </c>
      <c r="J200">
        <v>0</v>
      </c>
      <c r="K200">
        <v>39.61</v>
      </c>
      <c r="L200">
        <v>38.06</v>
      </c>
      <c r="M200" s="33">
        <v>0.2949</v>
      </c>
      <c r="N200" s="33">
        <v>-3.1928000000000001</v>
      </c>
      <c r="O200">
        <v>0.92</v>
      </c>
      <c r="P200" s="33">
        <v>5.0999999999999997E-2</v>
      </c>
      <c r="Q200" s="33">
        <v>0.4163</v>
      </c>
      <c r="R200" s="34">
        <v>3920.81</v>
      </c>
      <c r="S200" s="34">
        <v>-1409770000</v>
      </c>
      <c r="T200">
        <v>-1.6</v>
      </c>
      <c r="U200" s="33">
        <v>0.1696</v>
      </c>
    </row>
    <row r="201" spans="1:21" x14ac:dyDescent="0.25">
      <c r="A201" t="s">
        <v>216</v>
      </c>
      <c r="B201">
        <v>8.01</v>
      </c>
      <c r="C201">
        <v>12.29</v>
      </c>
      <c r="D201">
        <v>0.74</v>
      </c>
      <c r="E201">
        <v>0.40600000000000003</v>
      </c>
      <c r="F201" s="33">
        <v>0</v>
      </c>
      <c r="G201">
        <v>0.30199999999999999</v>
      </c>
      <c r="H201">
        <v>1.48</v>
      </c>
      <c r="I201">
        <v>4.68</v>
      </c>
      <c r="J201">
        <v>10.63</v>
      </c>
      <c r="K201">
        <v>5.7</v>
      </c>
      <c r="L201">
        <v>3.14</v>
      </c>
      <c r="M201" s="33">
        <v>8.6699999999999999E-2</v>
      </c>
      <c r="N201" s="33">
        <v>3.3099999999999997E-2</v>
      </c>
      <c r="O201">
        <v>1.49</v>
      </c>
      <c r="P201" s="33">
        <v>7.8799999999999995E-2</v>
      </c>
      <c r="Q201" s="33">
        <v>6.0499999999999998E-2</v>
      </c>
      <c r="R201" s="34">
        <v>9771420</v>
      </c>
      <c r="S201" s="34">
        <v>5382710000</v>
      </c>
      <c r="T201">
        <v>0.37</v>
      </c>
      <c r="U201" s="33">
        <v>0.126</v>
      </c>
    </row>
    <row r="202" spans="1:21" x14ac:dyDescent="0.25">
      <c r="A202" t="s">
        <v>60</v>
      </c>
      <c r="B202">
        <v>1.96</v>
      </c>
      <c r="C202">
        <v>11.77</v>
      </c>
      <c r="D202">
        <v>-0.46</v>
      </c>
      <c r="E202">
        <v>0.76800000000000002</v>
      </c>
      <c r="F202" s="33">
        <v>0</v>
      </c>
      <c r="G202">
        <v>0.34699999999999998</v>
      </c>
      <c r="H202">
        <v>0.66</v>
      </c>
      <c r="I202">
        <v>-14.89</v>
      </c>
      <c r="J202">
        <v>-0.4</v>
      </c>
      <c r="K202">
        <v>2.98</v>
      </c>
      <c r="L202">
        <v>8.5299999999999994</v>
      </c>
      <c r="M202" s="33">
        <v>-5.16E-2</v>
      </c>
      <c r="N202" s="33">
        <v>6.5299999999999997E-2</v>
      </c>
      <c r="O202">
        <v>2.4300000000000002</v>
      </c>
      <c r="P202" s="33">
        <v>-9.11E-2</v>
      </c>
      <c r="Q202" s="33">
        <v>-3.9E-2</v>
      </c>
      <c r="R202" s="34">
        <v>4488.5200000000004</v>
      </c>
      <c r="S202" s="34">
        <v>-50773000</v>
      </c>
      <c r="T202">
        <v>-0.41</v>
      </c>
      <c r="U202" s="33">
        <v>-6.59E-2</v>
      </c>
    </row>
    <row r="203" spans="1:21" x14ac:dyDescent="0.25">
      <c r="A203" t="s">
        <v>29</v>
      </c>
      <c r="B203">
        <v>1.23</v>
      </c>
      <c r="C203">
        <v>7.39</v>
      </c>
      <c r="D203">
        <v>-0.28999999999999998</v>
      </c>
      <c r="E203">
        <v>0.48199999999999998</v>
      </c>
      <c r="F203" s="33">
        <v>0</v>
      </c>
      <c r="G203">
        <v>0.218</v>
      </c>
      <c r="H203">
        <v>0.42</v>
      </c>
      <c r="I203">
        <v>-9.35</v>
      </c>
      <c r="J203">
        <v>-0.25</v>
      </c>
      <c r="K203">
        <v>8.52</v>
      </c>
      <c r="L203">
        <v>24.41</v>
      </c>
      <c r="M203" s="33">
        <v>-5.16E-2</v>
      </c>
      <c r="N203" s="33">
        <v>6.5299999999999997E-2</v>
      </c>
      <c r="O203">
        <v>2.4300000000000002</v>
      </c>
      <c r="P203" s="33">
        <v>-9.11E-2</v>
      </c>
      <c r="Q203" s="33">
        <v>-3.9E-2</v>
      </c>
      <c r="R203" s="34">
        <v>10850</v>
      </c>
      <c r="S203" s="34">
        <v>-50773000</v>
      </c>
      <c r="T203">
        <v>-0.41</v>
      </c>
      <c r="U203" s="33">
        <v>-6.59E-2</v>
      </c>
    </row>
    <row r="204" spans="1:21" x14ac:dyDescent="0.25">
      <c r="A204" t="s">
        <v>241</v>
      </c>
      <c r="B204">
        <v>38.49</v>
      </c>
      <c r="C204">
        <v>-36.61</v>
      </c>
      <c r="D204">
        <v>0.4</v>
      </c>
      <c r="E204">
        <v>0.66600000000000004</v>
      </c>
      <c r="F204" s="33">
        <v>0</v>
      </c>
      <c r="G204">
        <v>0.26100000000000001</v>
      </c>
      <c r="H204">
        <v>3.04</v>
      </c>
      <c r="I204">
        <v>22.6</v>
      </c>
      <c r="J204">
        <v>-1.46</v>
      </c>
      <c r="K204">
        <v>26.88</v>
      </c>
      <c r="L204">
        <v>13.08</v>
      </c>
      <c r="M204" s="33">
        <v>2.9499999999999998E-2</v>
      </c>
      <c r="N204" s="33">
        <v>-1.8200000000000001E-2</v>
      </c>
      <c r="O204">
        <v>2.1</v>
      </c>
      <c r="P204" s="33">
        <v>1.3299999999999999E-2</v>
      </c>
      <c r="Q204" s="33">
        <v>-1.0800000000000001E-2</v>
      </c>
      <c r="R204" s="34">
        <v>211812000</v>
      </c>
      <c r="S204" s="34">
        <v>48864200000</v>
      </c>
      <c r="T204">
        <v>0.27</v>
      </c>
      <c r="U204" s="33">
        <v>0.3775</v>
      </c>
    </row>
    <row r="205" spans="1:21" x14ac:dyDescent="0.25">
      <c r="A205" t="s">
        <v>210</v>
      </c>
      <c r="B205">
        <v>2.79</v>
      </c>
      <c r="C205">
        <v>6.54</v>
      </c>
      <c r="D205">
        <v>0.26</v>
      </c>
      <c r="E205">
        <v>0.29299999999999998</v>
      </c>
      <c r="F205" s="33">
        <v>3.6299999999999999E-2</v>
      </c>
      <c r="G205">
        <v>5.8000000000000003E-2</v>
      </c>
      <c r="H205">
        <v>0.4</v>
      </c>
      <c r="I205">
        <v>1.77</v>
      </c>
      <c r="J205">
        <v>-0.33</v>
      </c>
      <c r="K205">
        <v>8.85</v>
      </c>
      <c r="L205">
        <v>7.73</v>
      </c>
      <c r="M205" s="33">
        <v>0.16569999999999999</v>
      </c>
      <c r="N205" s="33">
        <v>0.12989999999999999</v>
      </c>
      <c r="O205">
        <v>1.61</v>
      </c>
      <c r="P205" s="33">
        <v>3.4700000000000002E-2</v>
      </c>
      <c r="Q205" s="33">
        <v>3.9100000000000003E-2</v>
      </c>
      <c r="R205" s="34">
        <v>3590610</v>
      </c>
      <c r="S205" s="34">
        <v>1459720000</v>
      </c>
      <c r="T205">
        <v>1.18</v>
      </c>
      <c r="U205" s="33">
        <v>9.6799999999999997E-2</v>
      </c>
    </row>
    <row r="206" spans="1:21" x14ac:dyDescent="0.25">
      <c r="A206" t="s">
        <v>223</v>
      </c>
      <c r="B206">
        <v>3.53</v>
      </c>
      <c r="C206">
        <v>10.27</v>
      </c>
      <c r="D206">
        <v>0.18</v>
      </c>
      <c r="E206">
        <v>2.1309999999999998</v>
      </c>
      <c r="F206" s="33">
        <v>0</v>
      </c>
      <c r="G206">
        <v>7.0999999999999994E-2</v>
      </c>
      <c r="H206">
        <v>1.99</v>
      </c>
      <c r="I206">
        <v>1.28</v>
      </c>
      <c r="J206">
        <v>-0.22</v>
      </c>
      <c r="K206">
        <v>6.26</v>
      </c>
      <c r="L206">
        <v>6.15</v>
      </c>
      <c r="M206" s="33">
        <v>1.6667000000000001</v>
      </c>
      <c r="N206" s="33">
        <v>0.70950000000000002</v>
      </c>
      <c r="O206">
        <v>1.57</v>
      </c>
      <c r="P206" s="33">
        <v>5.74E-2</v>
      </c>
      <c r="Q206" s="33">
        <v>1.7399999999999999E-2</v>
      </c>
      <c r="R206" s="34">
        <v>1116720</v>
      </c>
      <c r="S206" s="34">
        <v>2040590000</v>
      </c>
      <c r="T206">
        <v>0.77</v>
      </c>
      <c r="U206" s="33">
        <v>0.2213</v>
      </c>
    </row>
    <row r="207" spans="1:21" x14ac:dyDescent="0.25">
      <c r="A207" t="s">
        <v>100</v>
      </c>
      <c r="B207">
        <v>3.7</v>
      </c>
      <c r="C207">
        <v>-9.5399999999999991</v>
      </c>
      <c r="D207">
        <v>5.3</v>
      </c>
      <c r="E207">
        <v>3.512</v>
      </c>
      <c r="F207" s="33">
        <v>0</v>
      </c>
      <c r="G207">
        <v>0.80400000000000005</v>
      </c>
      <c r="H207">
        <v>7.84</v>
      </c>
      <c r="I207">
        <v>-25.96</v>
      </c>
      <c r="J207">
        <v>-1.35</v>
      </c>
      <c r="K207">
        <v>-43.77</v>
      </c>
      <c r="L207">
        <v>37.39</v>
      </c>
      <c r="M207" s="33">
        <v>-0.1353</v>
      </c>
      <c r="N207" s="33">
        <v>-0.36820000000000003</v>
      </c>
      <c r="O207">
        <v>1.67</v>
      </c>
      <c r="P207" s="33">
        <v>-3.3599999999999998E-2</v>
      </c>
      <c r="Q207" s="33">
        <v>-0.55549999999999999</v>
      </c>
      <c r="R207" s="34">
        <v>14010600</v>
      </c>
      <c r="S207" s="34">
        <v>949871000</v>
      </c>
      <c r="T207">
        <v>4.05</v>
      </c>
      <c r="U207" s="33">
        <v>2.8000000000000001E-2</v>
      </c>
    </row>
    <row r="208" spans="1:21" x14ac:dyDescent="0.25">
      <c r="A208" t="s">
        <v>406</v>
      </c>
      <c r="B208">
        <v>30</v>
      </c>
      <c r="C208">
        <v>13.33</v>
      </c>
      <c r="D208">
        <v>0.42</v>
      </c>
      <c r="E208">
        <v>3.9550000000000001</v>
      </c>
      <c r="F208" s="33">
        <v>0.1966</v>
      </c>
      <c r="G208">
        <v>0.17</v>
      </c>
      <c r="H208">
        <v>5.19</v>
      </c>
      <c r="I208">
        <v>-4.62</v>
      </c>
      <c r="J208">
        <v>-0.35</v>
      </c>
      <c r="K208">
        <v>-8.51</v>
      </c>
      <c r="L208">
        <v>-8.77</v>
      </c>
      <c r="M208" s="33">
        <v>-0.85560000000000003</v>
      </c>
      <c r="N208" s="33">
        <v>0.29649999999999999</v>
      </c>
      <c r="O208">
        <v>1.37</v>
      </c>
      <c r="P208" s="33">
        <v>-3.7999999999999999E-2</v>
      </c>
      <c r="Q208" s="33">
        <v>3.1699999999999999E-2</v>
      </c>
      <c r="R208" s="34">
        <v>7249.38</v>
      </c>
      <c r="S208" s="34">
        <v>647667000</v>
      </c>
      <c r="T208">
        <v>0.43</v>
      </c>
      <c r="U208" s="33">
        <v>-8.4599999999999995E-2</v>
      </c>
    </row>
    <row r="209" spans="1:21" x14ac:dyDescent="0.25">
      <c r="A209" t="s">
        <v>407</v>
      </c>
      <c r="B209">
        <v>5.51</v>
      </c>
      <c r="C209">
        <v>3.19</v>
      </c>
      <c r="D209">
        <v>-0.01</v>
      </c>
      <c r="E209">
        <v>0.67100000000000004</v>
      </c>
      <c r="F209" s="33">
        <v>0</v>
      </c>
      <c r="G209">
        <v>0.22800000000000001</v>
      </c>
      <c r="H209">
        <v>-0.81</v>
      </c>
      <c r="I209">
        <v>0.72</v>
      </c>
      <c r="J209">
        <v>-0.01</v>
      </c>
      <c r="K209">
        <v>83.92</v>
      </c>
      <c r="L209">
        <v>83.92</v>
      </c>
      <c r="M209" s="33">
        <v>0.93100000000000005</v>
      </c>
      <c r="N209" s="33">
        <v>0.21049999999999999</v>
      </c>
      <c r="O209">
        <v>0.32</v>
      </c>
      <c r="P209" s="33">
        <v>0.31859999999999999</v>
      </c>
      <c r="Q209" s="33">
        <v>-2.5000000000000001E-3</v>
      </c>
      <c r="R209" s="34">
        <v>358.29</v>
      </c>
      <c r="S209" s="34">
        <v>-350747000</v>
      </c>
      <c r="T209">
        <v>-0.93</v>
      </c>
      <c r="U209" s="33">
        <v>0.25180000000000002</v>
      </c>
    </row>
    <row r="210" spans="1:21" x14ac:dyDescent="0.25">
      <c r="A210" t="s">
        <v>408</v>
      </c>
      <c r="B210">
        <v>3.72</v>
      </c>
      <c r="C210">
        <v>0.84</v>
      </c>
      <c r="D210">
        <v>-1.43</v>
      </c>
      <c r="E210">
        <v>0.38300000000000001</v>
      </c>
      <c r="F210" s="33">
        <v>0</v>
      </c>
      <c r="G210">
        <v>0.13100000000000001</v>
      </c>
      <c r="H210">
        <v>-1.18</v>
      </c>
      <c r="I210">
        <v>1.08</v>
      </c>
      <c r="J210">
        <v>-0.14000000000000001</v>
      </c>
      <c r="K210">
        <v>0.56999999999999995</v>
      </c>
      <c r="L210">
        <v>0.5</v>
      </c>
      <c r="M210" s="33">
        <v>0.35339999999999999</v>
      </c>
      <c r="N210" s="33">
        <v>0.45440000000000003</v>
      </c>
      <c r="O210">
        <v>0.64</v>
      </c>
      <c r="P210" s="33">
        <v>0.13039999999999999</v>
      </c>
      <c r="Q210" s="33">
        <v>-1.6920999999999999</v>
      </c>
      <c r="R210" s="34">
        <v>39961.599999999999</v>
      </c>
      <c r="S210" s="34">
        <v>-47880000</v>
      </c>
      <c r="T210">
        <v>-0.02</v>
      </c>
      <c r="U210" s="33">
        <v>0.67969999999999997</v>
      </c>
    </row>
    <row r="211" spans="1:21" x14ac:dyDescent="0.25">
      <c r="A211" t="s">
        <v>229</v>
      </c>
      <c r="B211">
        <v>27.8</v>
      </c>
      <c r="C211">
        <v>21.77</v>
      </c>
      <c r="D211">
        <v>1.5</v>
      </c>
      <c r="E211">
        <v>2.63</v>
      </c>
      <c r="F211" s="33">
        <v>3.5000000000000003E-2</v>
      </c>
      <c r="G211">
        <v>0.72399999999999998</v>
      </c>
      <c r="H211">
        <v>14.39</v>
      </c>
      <c r="I211">
        <v>18.440000000000001</v>
      </c>
      <c r="J211">
        <v>-2.63</v>
      </c>
      <c r="K211">
        <v>26.35</v>
      </c>
      <c r="L211">
        <v>20.21</v>
      </c>
      <c r="M211" s="33">
        <v>0.1426</v>
      </c>
      <c r="N211" s="33">
        <v>0.1196</v>
      </c>
      <c r="O211">
        <v>1.26</v>
      </c>
      <c r="P211" s="33">
        <v>4.2999999999999997E-2</v>
      </c>
      <c r="Q211" s="33">
        <v>6.8900000000000003E-2</v>
      </c>
      <c r="R211" s="34">
        <v>79564400</v>
      </c>
      <c r="S211" s="34">
        <v>11738300000</v>
      </c>
      <c r="T211">
        <v>0.79</v>
      </c>
      <c r="U211" s="33">
        <v>0.113</v>
      </c>
    </row>
    <row r="212" spans="1:21" x14ac:dyDescent="0.25">
      <c r="A212" t="s">
        <v>240</v>
      </c>
      <c r="B212">
        <v>7.0000000000000007E-2</v>
      </c>
      <c r="C212">
        <v>-0.06</v>
      </c>
      <c r="D212">
        <v>-0.7</v>
      </c>
      <c r="E212">
        <v>0.10100000000000001</v>
      </c>
      <c r="F212" s="33">
        <v>0</v>
      </c>
      <c r="G212">
        <v>7.0999999999999994E-2</v>
      </c>
      <c r="H212">
        <v>-0.39</v>
      </c>
      <c r="I212">
        <v>-7.0000000000000007E-2</v>
      </c>
      <c r="J212">
        <v>-0.12</v>
      </c>
      <c r="K212">
        <v>-0.56000000000000005</v>
      </c>
      <c r="L212">
        <v>-0.6</v>
      </c>
      <c r="M212" s="33">
        <v>-1.4795</v>
      </c>
      <c r="N212" s="33">
        <v>-1.6592</v>
      </c>
      <c r="O212">
        <v>0.73</v>
      </c>
      <c r="P212" s="33">
        <v>-1.4582999999999999</v>
      </c>
      <c r="Q212" s="33">
        <v>11.5709</v>
      </c>
      <c r="R212" s="34">
        <v>911778</v>
      </c>
      <c r="S212" s="34">
        <v>-147834000</v>
      </c>
      <c r="T212">
        <v>-5.62</v>
      </c>
      <c r="U212" s="33">
        <v>0.23169999999999999</v>
      </c>
    </row>
    <row r="213" spans="1:21" x14ac:dyDescent="0.25">
      <c r="A213" t="s">
        <v>409</v>
      </c>
      <c r="B213">
        <v>175.99</v>
      </c>
      <c r="C213">
        <v>0.56000000000000005</v>
      </c>
      <c r="D213">
        <v>-0.34</v>
      </c>
      <c r="E213">
        <v>30.247</v>
      </c>
      <c r="F213" s="33">
        <v>0</v>
      </c>
      <c r="G213">
        <v>1.0349999999999999</v>
      </c>
      <c r="H213">
        <v>-0.99</v>
      </c>
      <c r="I213">
        <v>-3.7</v>
      </c>
      <c r="J213">
        <v>-0.28999999999999998</v>
      </c>
      <c r="K213">
        <v>-7.85</v>
      </c>
      <c r="L213">
        <v>-8.2100000000000009</v>
      </c>
      <c r="M213" s="33">
        <v>-8.1712000000000007</v>
      </c>
      <c r="N213" s="33">
        <v>53.793199999999999</v>
      </c>
      <c r="O213">
        <v>0.33</v>
      </c>
      <c r="P213" s="33">
        <v>-0.57989999999999997</v>
      </c>
      <c r="Q213" s="33">
        <v>-0.60099999999999998</v>
      </c>
      <c r="R213" s="34">
        <v>10393.299999999999</v>
      </c>
      <c r="S213" s="34">
        <v>-650957000</v>
      </c>
      <c r="T213">
        <v>-0.54</v>
      </c>
      <c r="U213" s="33">
        <v>0.13969999999999999</v>
      </c>
    </row>
    <row r="214" spans="1:21" x14ac:dyDescent="0.25">
      <c r="A214" t="s">
        <v>410</v>
      </c>
      <c r="B214">
        <v>21.88</v>
      </c>
      <c r="C214">
        <v>15.24</v>
      </c>
      <c r="D214">
        <v>1.47</v>
      </c>
      <c r="E214">
        <v>5.1180000000000003</v>
      </c>
      <c r="F214" s="33">
        <v>1.7999999999999999E-2</v>
      </c>
      <c r="G214">
        <v>0.72499999999999998</v>
      </c>
      <c r="H214">
        <v>3.03</v>
      </c>
      <c r="I214">
        <v>9.18</v>
      </c>
      <c r="J214">
        <v>-3.5</v>
      </c>
      <c r="K214">
        <v>11.79</v>
      </c>
      <c r="L214">
        <v>9.4700000000000006</v>
      </c>
      <c r="M214" s="33">
        <v>0.55730000000000002</v>
      </c>
      <c r="N214" s="33">
        <v>0.33600000000000002</v>
      </c>
      <c r="O214">
        <v>4.9000000000000004</v>
      </c>
      <c r="P214" s="33">
        <v>0.1065</v>
      </c>
      <c r="Q214" s="33">
        <v>9.6600000000000005E-2</v>
      </c>
      <c r="R214" s="34">
        <v>60270000</v>
      </c>
      <c r="S214" s="34">
        <v>4409240000</v>
      </c>
      <c r="T214">
        <v>0.94</v>
      </c>
      <c r="U214" s="33">
        <v>0.15790000000000001</v>
      </c>
    </row>
    <row r="215" spans="1:21" x14ac:dyDescent="0.25">
      <c r="A215" t="s">
        <v>108</v>
      </c>
      <c r="B215">
        <v>2.65</v>
      </c>
      <c r="C215">
        <v>12.92</v>
      </c>
      <c r="D215">
        <v>1.25</v>
      </c>
      <c r="E215">
        <v>4.3390000000000004</v>
      </c>
      <c r="F215" s="33">
        <v>2.12E-2</v>
      </c>
      <c r="G215">
        <v>0.61499999999999999</v>
      </c>
      <c r="H215">
        <v>2.57</v>
      </c>
      <c r="I215">
        <v>7.79</v>
      </c>
      <c r="J215">
        <v>-2.97</v>
      </c>
      <c r="K215">
        <v>10.39</v>
      </c>
      <c r="L215">
        <v>8.34</v>
      </c>
      <c r="M215" s="33">
        <v>0.55730000000000002</v>
      </c>
      <c r="N215" s="33">
        <v>0.33600000000000002</v>
      </c>
      <c r="O215">
        <v>4.9000000000000004</v>
      </c>
      <c r="P215" s="33">
        <v>0.1065</v>
      </c>
      <c r="Q215" s="33">
        <v>9.6600000000000005E-2</v>
      </c>
      <c r="R215" s="34">
        <v>109930</v>
      </c>
      <c r="S215" s="34">
        <v>4409240000</v>
      </c>
      <c r="T215">
        <v>0.94</v>
      </c>
      <c r="U215" s="33">
        <v>0.15790000000000001</v>
      </c>
    </row>
    <row r="216" spans="1:21" x14ac:dyDescent="0.25">
      <c r="A216" t="s">
        <v>411</v>
      </c>
      <c r="B216">
        <v>2.35</v>
      </c>
      <c r="C216">
        <v>-0.45</v>
      </c>
      <c r="D216">
        <v>-7.0000000000000007E-2</v>
      </c>
      <c r="E216">
        <v>23.812999999999999</v>
      </c>
      <c r="F216" s="33">
        <v>0</v>
      </c>
      <c r="G216">
        <v>0.112</v>
      </c>
      <c r="H216">
        <v>-0.09</v>
      </c>
      <c r="I216">
        <v>-1.45</v>
      </c>
      <c r="J216">
        <v>-0.05</v>
      </c>
      <c r="K216">
        <v>-14.23</v>
      </c>
      <c r="L216">
        <v>-15.65</v>
      </c>
      <c r="M216" s="33">
        <v>-16.470199999999998</v>
      </c>
      <c r="N216" s="33">
        <v>-53.787599999999998</v>
      </c>
      <c r="O216">
        <v>0.08</v>
      </c>
      <c r="P216" s="33">
        <v>-8.3099999999999993E-2</v>
      </c>
      <c r="Q216" s="33">
        <v>0.16059999999999999</v>
      </c>
      <c r="R216" s="34">
        <v>163861</v>
      </c>
      <c r="S216" s="34">
        <v>-1448530000</v>
      </c>
      <c r="T216">
        <v>-0.64</v>
      </c>
      <c r="U216" s="33">
        <v>-0.21640000000000001</v>
      </c>
    </row>
    <row r="217" spans="1:21" x14ac:dyDescent="0.25">
      <c r="A217" t="s">
        <v>244</v>
      </c>
      <c r="B217">
        <v>1.75</v>
      </c>
      <c r="C217">
        <v>-0.34</v>
      </c>
      <c r="D217">
        <v>-0.05</v>
      </c>
      <c r="E217">
        <v>17.733000000000001</v>
      </c>
      <c r="F217" s="33">
        <v>0</v>
      </c>
      <c r="G217">
        <v>8.4000000000000005E-2</v>
      </c>
      <c r="H217">
        <v>-7.0000000000000007E-2</v>
      </c>
      <c r="I217">
        <v>-1.08</v>
      </c>
      <c r="J217">
        <v>-0.03</v>
      </c>
      <c r="K217">
        <v>-13.86</v>
      </c>
      <c r="L217">
        <v>-15.25</v>
      </c>
      <c r="M217" s="33">
        <v>-16.470199999999998</v>
      </c>
      <c r="N217" s="33">
        <v>-53.787599999999998</v>
      </c>
      <c r="O217">
        <v>0.08</v>
      </c>
      <c r="P217" s="33">
        <v>-8.3099999999999993E-2</v>
      </c>
      <c r="Q217" s="33">
        <v>0.16059999999999999</v>
      </c>
      <c r="R217" s="34">
        <v>153595</v>
      </c>
      <c r="S217" s="34">
        <v>-1448530000</v>
      </c>
      <c r="T217">
        <v>-0.64</v>
      </c>
      <c r="U217" s="33">
        <v>-0.21640000000000001</v>
      </c>
    </row>
    <row r="218" spans="1:21" x14ac:dyDescent="0.25">
      <c r="A218" t="s">
        <v>136</v>
      </c>
      <c r="B218">
        <v>14.87</v>
      </c>
      <c r="C218">
        <v>11.16</v>
      </c>
      <c r="D218">
        <v>1.66</v>
      </c>
      <c r="E218">
        <v>1.05</v>
      </c>
      <c r="F218" s="33">
        <v>3.1E-2</v>
      </c>
      <c r="G218">
        <v>0.95199999999999996</v>
      </c>
      <c r="H218">
        <v>2.1</v>
      </c>
      <c r="I218">
        <v>9.9700000000000006</v>
      </c>
      <c r="J218">
        <v>3.3</v>
      </c>
      <c r="K218">
        <v>10.64</v>
      </c>
      <c r="L218">
        <v>8.77</v>
      </c>
      <c r="M218" s="33">
        <v>0.10539999999999999</v>
      </c>
      <c r="N218" s="33">
        <v>9.4E-2</v>
      </c>
      <c r="O218">
        <v>2.77</v>
      </c>
      <c r="P218" s="33">
        <v>0.1321</v>
      </c>
      <c r="Q218" s="33">
        <v>0.1484</v>
      </c>
      <c r="R218" s="34">
        <v>32716800</v>
      </c>
      <c r="S218" s="34">
        <v>2941250000</v>
      </c>
      <c r="T218">
        <v>0.33</v>
      </c>
      <c r="U218" s="33">
        <v>0.1691</v>
      </c>
    </row>
    <row r="219" spans="1:21" x14ac:dyDescent="0.25">
      <c r="A219" t="s">
        <v>73</v>
      </c>
      <c r="B219">
        <v>47.05</v>
      </c>
      <c r="C219">
        <v>-37.49</v>
      </c>
      <c r="D219">
        <v>0.76</v>
      </c>
      <c r="E219">
        <v>0.64200000000000002</v>
      </c>
      <c r="F219" s="33">
        <v>0</v>
      </c>
      <c r="G219">
        <v>0.24</v>
      </c>
      <c r="H219">
        <v>0</v>
      </c>
      <c r="I219">
        <v>4.9800000000000004</v>
      </c>
      <c r="J219">
        <v>0</v>
      </c>
      <c r="K219">
        <v>0</v>
      </c>
      <c r="L219">
        <v>0</v>
      </c>
      <c r="M219" s="33">
        <v>0.129</v>
      </c>
      <c r="N219" s="33">
        <v>-1.7100000000000001E-2</v>
      </c>
      <c r="O219">
        <v>0</v>
      </c>
      <c r="P219" s="33">
        <v>0</v>
      </c>
      <c r="Q219" s="33">
        <v>-2.0199999999999999E-2</v>
      </c>
      <c r="R219" s="34">
        <v>54138200</v>
      </c>
      <c r="S219" s="34">
        <v>5087450000</v>
      </c>
      <c r="T219">
        <v>0</v>
      </c>
      <c r="U219" s="33">
        <v>0</v>
      </c>
    </row>
    <row r="220" spans="1:21" x14ac:dyDescent="0.25">
      <c r="A220" t="s">
        <v>412</v>
      </c>
      <c r="B220">
        <v>29.75</v>
      </c>
      <c r="C220">
        <v>5.49</v>
      </c>
      <c r="D220">
        <v>0.96</v>
      </c>
      <c r="E220">
        <v>2.3330000000000002</v>
      </c>
      <c r="F220" s="33">
        <v>7.9399999999999998E-2</v>
      </c>
      <c r="G220">
        <v>0.439</v>
      </c>
      <c r="H220">
        <v>3.31</v>
      </c>
      <c r="I220">
        <v>4.18</v>
      </c>
      <c r="J220">
        <v>-1.24</v>
      </c>
      <c r="K220">
        <v>6.67</v>
      </c>
      <c r="L220">
        <v>6.62</v>
      </c>
      <c r="M220" s="33">
        <v>0.55840000000000001</v>
      </c>
      <c r="N220" s="33">
        <v>0.43109999999999998</v>
      </c>
      <c r="O220">
        <v>3.77</v>
      </c>
      <c r="P220" s="33">
        <v>0.114</v>
      </c>
      <c r="Q220" s="33">
        <v>0.17480000000000001</v>
      </c>
      <c r="R220" s="34">
        <v>92614.5</v>
      </c>
      <c r="S220" s="34">
        <v>20414900000</v>
      </c>
      <c r="T220">
        <v>0.73</v>
      </c>
      <c r="U220" s="33">
        <v>0.17660000000000001</v>
      </c>
    </row>
    <row r="221" spans="1:21" x14ac:dyDescent="0.25">
      <c r="A221" t="s">
        <v>5</v>
      </c>
      <c r="B221">
        <v>23.12</v>
      </c>
      <c r="C221">
        <v>4.2699999999999996</v>
      </c>
      <c r="D221">
        <v>0.75</v>
      </c>
      <c r="E221">
        <v>1.8129999999999999</v>
      </c>
      <c r="F221" s="33">
        <v>0.1021</v>
      </c>
      <c r="G221">
        <v>0.34100000000000003</v>
      </c>
      <c r="H221">
        <v>2.58</v>
      </c>
      <c r="I221">
        <v>3.25</v>
      </c>
      <c r="J221">
        <v>-0.96</v>
      </c>
      <c r="K221">
        <v>5.74</v>
      </c>
      <c r="L221">
        <v>5.69</v>
      </c>
      <c r="M221" s="33">
        <v>0.55840000000000001</v>
      </c>
      <c r="N221" s="33">
        <v>0.43109999999999998</v>
      </c>
      <c r="O221">
        <v>3.77</v>
      </c>
      <c r="P221" s="33">
        <v>0.114</v>
      </c>
      <c r="Q221" s="33">
        <v>0.17480000000000001</v>
      </c>
      <c r="R221" s="34">
        <v>47399000</v>
      </c>
      <c r="S221" s="34">
        <v>20414900000</v>
      </c>
      <c r="T221">
        <v>0.73</v>
      </c>
      <c r="U221" s="33">
        <v>0.17660000000000001</v>
      </c>
    </row>
    <row r="222" spans="1:21" x14ac:dyDescent="0.25">
      <c r="A222" t="s">
        <v>40</v>
      </c>
      <c r="B222">
        <v>10.73</v>
      </c>
      <c r="C222">
        <v>7.75</v>
      </c>
      <c r="D222">
        <v>1.37</v>
      </c>
      <c r="E222">
        <v>14.382</v>
      </c>
      <c r="F222" s="33">
        <v>8.1600000000000006E-2</v>
      </c>
      <c r="G222">
        <v>1.0660000000000001</v>
      </c>
      <c r="H222">
        <v>19.61</v>
      </c>
      <c r="I222">
        <v>207.32</v>
      </c>
      <c r="J222">
        <v>-14.74</v>
      </c>
      <c r="K222">
        <v>214.04</v>
      </c>
      <c r="L222">
        <v>68.19</v>
      </c>
      <c r="M222" s="33">
        <v>6.9400000000000003E-2</v>
      </c>
      <c r="N222" s="33">
        <v>1.8759999999999999</v>
      </c>
      <c r="O222">
        <v>1.97</v>
      </c>
      <c r="P222" s="33">
        <v>5.5999999999999999E-3</v>
      </c>
      <c r="Q222" s="33">
        <v>0.17710000000000001</v>
      </c>
      <c r="R222" s="34">
        <v>1448030</v>
      </c>
      <c r="S222" s="34">
        <v>85938000000</v>
      </c>
      <c r="T222">
        <v>0.13</v>
      </c>
      <c r="U222" s="33">
        <v>3.61E-2</v>
      </c>
    </row>
    <row r="223" spans="1:21" x14ac:dyDescent="0.25">
      <c r="A223" t="s">
        <v>49</v>
      </c>
      <c r="B223">
        <v>10.71</v>
      </c>
      <c r="C223">
        <v>7.74</v>
      </c>
      <c r="D223">
        <v>1.37</v>
      </c>
      <c r="E223">
        <v>14.356</v>
      </c>
      <c r="F223" s="33">
        <v>8.1799999999999998E-2</v>
      </c>
      <c r="G223">
        <v>1.0640000000000001</v>
      </c>
      <c r="H223">
        <v>19.579999999999998</v>
      </c>
      <c r="I223">
        <v>206.93</v>
      </c>
      <c r="J223">
        <v>-14.71</v>
      </c>
      <c r="K223">
        <v>213.66</v>
      </c>
      <c r="L223">
        <v>68.069999999999993</v>
      </c>
      <c r="M223" s="33">
        <v>6.9400000000000003E-2</v>
      </c>
      <c r="N223" s="33">
        <v>1.8759999999999999</v>
      </c>
      <c r="O223">
        <v>1.97</v>
      </c>
      <c r="P223" s="33">
        <v>5.5999999999999999E-3</v>
      </c>
      <c r="Q223" s="33">
        <v>0.17710000000000001</v>
      </c>
      <c r="R223" s="34">
        <v>331641000</v>
      </c>
      <c r="S223" s="34">
        <v>85938000000</v>
      </c>
      <c r="T223">
        <v>0.13</v>
      </c>
      <c r="U223" s="33">
        <v>3.61E-2</v>
      </c>
    </row>
    <row r="224" spans="1:21" x14ac:dyDescent="0.25">
      <c r="A224" t="s">
        <v>62</v>
      </c>
      <c r="B224">
        <v>32.229999999999997</v>
      </c>
      <c r="C224">
        <v>8.83</v>
      </c>
      <c r="D224">
        <v>1.79</v>
      </c>
      <c r="E224">
        <v>0</v>
      </c>
      <c r="F224" s="33">
        <v>8.4599999999999995E-2</v>
      </c>
      <c r="G224">
        <v>0</v>
      </c>
      <c r="H224">
        <v>0</v>
      </c>
      <c r="I224">
        <v>0</v>
      </c>
      <c r="J224">
        <v>0</v>
      </c>
      <c r="K224">
        <v>0</v>
      </c>
      <c r="L224">
        <v>0</v>
      </c>
      <c r="M224" s="33">
        <v>0</v>
      </c>
      <c r="N224" s="33">
        <v>0</v>
      </c>
      <c r="O224">
        <v>0</v>
      </c>
      <c r="P224" s="33">
        <v>0</v>
      </c>
      <c r="Q224" s="33">
        <v>0.20330000000000001</v>
      </c>
      <c r="R224" s="34">
        <v>20530900</v>
      </c>
      <c r="S224" s="34">
        <v>193682000000</v>
      </c>
      <c r="T224">
        <v>0</v>
      </c>
      <c r="U224" s="33">
        <v>0.79800000000000004</v>
      </c>
    </row>
    <row r="225" spans="1:21" x14ac:dyDescent="0.25">
      <c r="A225" t="s">
        <v>44</v>
      </c>
      <c r="B225">
        <v>36.17</v>
      </c>
      <c r="C225">
        <v>9.9</v>
      </c>
      <c r="D225">
        <v>2.0099999999999998</v>
      </c>
      <c r="E225">
        <v>0</v>
      </c>
      <c r="F225" s="33">
        <v>7.5399999999999995E-2</v>
      </c>
      <c r="G225">
        <v>0</v>
      </c>
      <c r="H225">
        <v>0</v>
      </c>
      <c r="I225">
        <v>0</v>
      </c>
      <c r="J225">
        <v>0</v>
      </c>
      <c r="K225">
        <v>0</v>
      </c>
      <c r="L225">
        <v>0</v>
      </c>
      <c r="M225" s="33">
        <v>0</v>
      </c>
      <c r="N225" s="33">
        <v>0</v>
      </c>
      <c r="O225">
        <v>0</v>
      </c>
      <c r="P225" s="33">
        <v>0</v>
      </c>
      <c r="Q225" s="33">
        <v>0.20330000000000001</v>
      </c>
      <c r="R225" s="34">
        <v>844979000</v>
      </c>
      <c r="S225" s="34">
        <v>193682000000</v>
      </c>
      <c r="T225">
        <v>0</v>
      </c>
      <c r="U225" s="33">
        <v>0.79800000000000004</v>
      </c>
    </row>
    <row r="226" spans="1:21" x14ac:dyDescent="0.25">
      <c r="A226" t="s">
        <v>126</v>
      </c>
      <c r="B226">
        <v>4.08</v>
      </c>
      <c r="C226">
        <v>-35.71</v>
      </c>
      <c r="D226">
        <v>0.61</v>
      </c>
      <c r="E226">
        <v>0.56599999999999995</v>
      </c>
      <c r="F226" s="33">
        <v>1.66E-2</v>
      </c>
      <c r="G226">
        <v>0.16900000000000001</v>
      </c>
      <c r="H226">
        <v>0.64</v>
      </c>
      <c r="I226">
        <v>2.4500000000000002</v>
      </c>
      <c r="J226">
        <v>-0.48</v>
      </c>
      <c r="K226">
        <v>9.1199999999999992</v>
      </c>
      <c r="L226">
        <v>3.01</v>
      </c>
      <c r="M226" s="33">
        <v>0.2316</v>
      </c>
      <c r="N226" s="33">
        <v>-1.5900000000000001E-2</v>
      </c>
      <c r="O226">
        <v>3.3</v>
      </c>
      <c r="P226" s="33">
        <v>8.4099999999999994E-2</v>
      </c>
      <c r="Q226" s="33">
        <v>-1.72E-2</v>
      </c>
      <c r="R226" s="34">
        <v>1950850</v>
      </c>
      <c r="S226" s="34">
        <v>2017030000</v>
      </c>
      <c r="T226">
        <v>2.2599999999999998</v>
      </c>
      <c r="U226" s="33">
        <v>0.13650000000000001</v>
      </c>
    </row>
    <row r="227" spans="1:21" x14ac:dyDescent="0.25">
      <c r="A227" t="s">
        <v>79</v>
      </c>
      <c r="B227">
        <v>39.03</v>
      </c>
      <c r="C227">
        <v>3.11</v>
      </c>
      <c r="D227">
        <v>0.78</v>
      </c>
      <c r="E227">
        <v>7.6999999999999999E-2</v>
      </c>
      <c r="F227" s="33">
        <v>0.39269999999999999</v>
      </c>
      <c r="G227">
        <v>0.14099999999999999</v>
      </c>
      <c r="H227">
        <v>0.88</v>
      </c>
      <c r="I227">
        <v>1.31</v>
      </c>
      <c r="J227">
        <v>-0.37</v>
      </c>
      <c r="K227">
        <v>4.58</v>
      </c>
      <c r="L227">
        <v>3.11</v>
      </c>
      <c r="M227" s="33">
        <v>5.8599999999999999E-2</v>
      </c>
      <c r="N227" s="33">
        <v>2.75E-2</v>
      </c>
      <c r="O227">
        <v>1.62</v>
      </c>
      <c r="P227" s="33">
        <v>0.14699999999999999</v>
      </c>
      <c r="Q227" s="33">
        <v>0.2515</v>
      </c>
      <c r="R227" s="34">
        <v>626443000</v>
      </c>
      <c r="S227" s="34">
        <v>43308500000</v>
      </c>
      <c r="T227">
        <v>2.64</v>
      </c>
      <c r="U227" s="33">
        <v>8.8700000000000001E-2</v>
      </c>
    </row>
    <row r="228" spans="1:21" x14ac:dyDescent="0.25">
      <c r="A228" t="s">
        <v>112</v>
      </c>
      <c r="B228">
        <v>1.94</v>
      </c>
      <c r="C228">
        <v>-0.1</v>
      </c>
      <c r="D228">
        <v>-0.61</v>
      </c>
      <c r="E228">
        <v>0.105</v>
      </c>
      <c r="F228" s="33">
        <v>0</v>
      </c>
      <c r="G228">
        <v>2.9000000000000001E-2</v>
      </c>
      <c r="H228">
        <v>7.0000000000000007E-2</v>
      </c>
      <c r="I228">
        <v>-0.2</v>
      </c>
      <c r="J228">
        <v>-0.12</v>
      </c>
      <c r="K228">
        <v>-2.46</v>
      </c>
      <c r="L228">
        <v>-2.88</v>
      </c>
      <c r="M228" s="33">
        <v>-0.52080000000000004</v>
      </c>
      <c r="N228" s="33">
        <v>-1.0672999999999999</v>
      </c>
      <c r="O228">
        <v>1.76</v>
      </c>
      <c r="P228" s="33">
        <v>-0.15640000000000001</v>
      </c>
      <c r="Q228" s="33">
        <v>6.1649000000000003</v>
      </c>
      <c r="R228" s="34">
        <v>24337</v>
      </c>
      <c r="S228" s="34">
        <v>-39186000</v>
      </c>
      <c r="T228">
        <v>-6.97</v>
      </c>
      <c r="U228" s="33">
        <v>0.99990000000000001</v>
      </c>
    </row>
    <row r="229" spans="1:21" x14ac:dyDescent="0.25">
      <c r="A229" t="s">
        <v>214</v>
      </c>
      <c r="B229">
        <v>5.23</v>
      </c>
      <c r="C229">
        <v>3.34</v>
      </c>
      <c r="D229">
        <v>0.62</v>
      </c>
      <c r="E229">
        <v>2.0750000000000002</v>
      </c>
      <c r="F229" s="33">
        <v>7.0900000000000005E-2</v>
      </c>
      <c r="G229">
        <v>0.245</v>
      </c>
      <c r="H229">
        <v>1.41</v>
      </c>
      <c r="I229">
        <v>5.85</v>
      </c>
      <c r="J229">
        <v>-1</v>
      </c>
      <c r="K229">
        <v>11.2</v>
      </c>
      <c r="L229">
        <v>9.98</v>
      </c>
      <c r="M229" s="33">
        <v>0.35460000000000003</v>
      </c>
      <c r="N229" s="33">
        <v>0.61619999999999997</v>
      </c>
      <c r="O229">
        <v>2.1</v>
      </c>
      <c r="P229" s="33">
        <v>4.8099999999999997E-2</v>
      </c>
      <c r="Q229" s="33">
        <v>0.1855</v>
      </c>
      <c r="R229" s="34">
        <v>19724900</v>
      </c>
      <c r="S229" s="34">
        <v>5753280000</v>
      </c>
      <c r="T229">
        <v>0.9</v>
      </c>
      <c r="U229" s="33">
        <v>1.18E-2</v>
      </c>
    </row>
    <row r="230" spans="1:21" x14ac:dyDescent="0.25">
      <c r="A230" t="s">
        <v>413</v>
      </c>
      <c r="B230">
        <v>20.12</v>
      </c>
      <c r="C230">
        <v>10.63</v>
      </c>
      <c r="D230">
        <v>0.35</v>
      </c>
      <c r="E230">
        <v>9.7000000000000003E-2</v>
      </c>
      <c r="F230" s="33">
        <v>3.15E-2</v>
      </c>
      <c r="G230">
        <v>9.4E-2</v>
      </c>
      <c r="H230">
        <v>0.28999999999999998</v>
      </c>
      <c r="I230">
        <v>2.17</v>
      </c>
      <c r="J230">
        <v>1.6</v>
      </c>
      <c r="K230">
        <v>7.71</v>
      </c>
      <c r="L230">
        <v>6.77</v>
      </c>
      <c r="M230" s="33">
        <v>4.48E-2</v>
      </c>
      <c r="N230" s="33">
        <v>1.1599999999999999E-2</v>
      </c>
      <c r="O230">
        <v>1.82</v>
      </c>
      <c r="P230" s="33">
        <v>6.4000000000000001E-2</v>
      </c>
      <c r="Q230" s="33">
        <v>3.3300000000000003E-2</v>
      </c>
      <c r="R230" s="34">
        <v>3138.33</v>
      </c>
      <c r="S230" s="34">
        <v>602064000</v>
      </c>
      <c r="T230">
        <v>1.99</v>
      </c>
      <c r="U230" s="33">
        <v>6.0199999999999997E-2</v>
      </c>
    </row>
    <row r="231" spans="1:21" x14ac:dyDescent="0.25">
      <c r="A231" t="s">
        <v>414</v>
      </c>
      <c r="B231">
        <v>29.02</v>
      </c>
      <c r="C231">
        <v>20.27</v>
      </c>
      <c r="D231">
        <v>1.93</v>
      </c>
      <c r="E231">
        <v>4.6669999999999998</v>
      </c>
      <c r="F231" s="33">
        <v>2.8999999999999998E-3</v>
      </c>
      <c r="G231">
        <v>0.46800000000000003</v>
      </c>
      <c r="H231">
        <v>2.34</v>
      </c>
      <c r="I231">
        <v>12.96</v>
      </c>
      <c r="J231">
        <v>-1.68</v>
      </c>
      <c r="K231">
        <v>20.350000000000001</v>
      </c>
      <c r="L231">
        <v>12.83</v>
      </c>
      <c r="M231" s="33">
        <v>0.36020000000000002</v>
      </c>
      <c r="N231" s="33">
        <v>0.46310000000000001</v>
      </c>
      <c r="O231">
        <v>5.31</v>
      </c>
      <c r="P231" s="33">
        <v>4.5600000000000002E-2</v>
      </c>
      <c r="Q231" s="33">
        <v>9.5100000000000004E-2</v>
      </c>
      <c r="R231" s="34">
        <v>7666510</v>
      </c>
      <c r="S231" s="34">
        <v>1762140000</v>
      </c>
      <c r="T231">
        <v>1.94</v>
      </c>
      <c r="U231" s="33">
        <v>1.01E-2</v>
      </c>
    </row>
    <row r="232" spans="1:21" x14ac:dyDescent="0.25">
      <c r="A232" t="s">
        <v>207</v>
      </c>
      <c r="B232">
        <v>6.02</v>
      </c>
      <c r="C232">
        <v>8.39</v>
      </c>
      <c r="D232">
        <v>0.96</v>
      </c>
      <c r="E232">
        <v>0.185</v>
      </c>
      <c r="F232" s="33">
        <v>6.9900000000000004E-2</v>
      </c>
      <c r="G232">
        <v>0.13700000000000001</v>
      </c>
      <c r="H232">
        <v>0.97</v>
      </c>
      <c r="I232">
        <v>1.65</v>
      </c>
      <c r="J232">
        <v>-0.28000000000000003</v>
      </c>
      <c r="K232">
        <v>7.8</v>
      </c>
      <c r="L232">
        <v>4.82</v>
      </c>
      <c r="M232" s="33">
        <v>0.11219999999999999</v>
      </c>
      <c r="N232" s="33">
        <v>2.2100000000000002E-2</v>
      </c>
      <c r="O232">
        <v>1.62</v>
      </c>
      <c r="P232" s="33">
        <v>0.1004</v>
      </c>
      <c r="Q232" s="33">
        <v>0.1148</v>
      </c>
      <c r="R232" s="34">
        <v>3797320</v>
      </c>
      <c r="S232" s="34">
        <v>1791170000</v>
      </c>
      <c r="T232">
        <v>4.6399999999999997</v>
      </c>
      <c r="U232" s="33">
        <v>0.55510000000000004</v>
      </c>
    </row>
    <row r="233" spans="1:21" x14ac:dyDescent="0.25">
      <c r="A233" t="s">
        <v>109</v>
      </c>
      <c r="B233">
        <v>8.39</v>
      </c>
      <c r="C233">
        <v>8.74</v>
      </c>
      <c r="D233">
        <v>2.11</v>
      </c>
      <c r="E233">
        <v>0.95199999999999996</v>
      </c>
      <c r="F233" s="33">
        <v>9.8299999999999998E-2</v>
      </c>
      <c r="G233">
        <v>0.995</v>
      </c>
      <c r="H233">
        <v>3</v>
      </c>
      <c r="I233">
        <v>6.22</v>
      </c>
      <c r="J233">
        <v>7.54</v>
      </c>
      <c r="K233">
        <v>6.09</v>
      </c>
      <c r="L233">
        <v>5.24</v>
      </c>
      <c r="M233" s="33">
        <v>0.15290000000000001</v>
      </c>
      <c r="N233" s="33">
        <v>0.1089</v>
      </c>
      <c r="O233">
        <v>2.0099999999999998</v>
      </c>
      <c r="P233" s="33">
        <v>0.23169999999999999</v>
      </c>
      <c r="Q233" s="33">
        <v>0.2417</v>
      </c>
      <c r="R233" s="34">
        <v>12880300</v>
      </c>
      <c r="S233" s="34">
        <v>714159000</v>
      </c>
      <c r="T233">
        <v>0.45</v>
      </c>
      <c r="U233" s="33">
        <v>0.16320000000000001</v>
      </c>
    </row>
    <row r="234" spans="1:21" x14ac:dyDescent="0.25">
      <c r="A234" t="s">
        <v>415</v>
      </c>
      <c r="B234">
        <v>18.39</v>
      </c>
      <c r="C234">
        <v>12.58</v>
      </c>
      <c r="D234">
        <v>2.63</v>
      </c>
      <c r="E234">
        <v>1.1319999999999999</v>
      </c>
      <c r="F234" s="33">
        <v>6.3700000000000007E-2</v>
      </c>
      <c r="G234">
        <v>0.39500000000000002</v>
      </c>
      <c r="H234">
        <v>3.57</v>
      </c>
      <c r="I234">
        <v>4.96</v>
      </c>
      <c r="J234">
        <v>-0.69</v>
      </c>
      <c r="K234">
        <v>11.44</v>
      </c>
      <c r="L234">
        <v>5.83</v>
      </c>
      <c r="M234" s="33">
        <v>0.22819999999999999</v>
      </c>
      <c r="N234" s="33">
        <v>0.1013</v>
      </c>
      <c r="O234">
        <v>1.96</v>
      </c>
      <c r="P234" s="33">
        <v>9.5799999999999996E-2</v>
      </c>
      <c r="Q234" s="33">
        <v>0.2094</v>
      </c>
      <c r="R234" s="34">
        <v>102179000</v>
      </c>
      <c r="S234" s="34">
        <v>8626520000</v>
      </c>
      <c r="T234">
        <v>4.1900000000000004</v>
      </c>
      <c r="U234" s="33">
        <v>9.4899999999999998E-2</v>
      </c>
    </row>
    <row r="235" spans="1:21" x14ac:dyDescent="0.25">
      <c r="A235" t="s">
        <v>138</v>
      </c>
      <c r="B235">
        <v>3.85</v>
      </c>
      <c r="C235">
        <v>13.17</v>
      </c>
      <c r="D235">
        <v>2.76</v>
      </c>
      <c r="E235">
        <v>1.1850000000000001</v>
      </c>
      <c r="F235" s="33">
        <v>6.0900000000000003E-2</v>
      </c>
      <c r="G235">
        <v>0.41399999999999998</v>
      </c>
      <c r="H235">
        <v>3.74</v>
      </c>
      <c r="I235">
        <v>5.19</v>
      </c>
      <c r="J235">
        <v>-0.72</v>
      </c>
      <c r="K235">
        <v>11.68</v>
      </c>
      <c r="L235">
        <v>5.95</v>
      </c>
      <c r="M235" s="33">
        <v>0.22819999999999999</v>
      </c>
      <c r="N235" s="33">
        <v>0.1013</v>
      </c>
      <c r="O235">
        <v>1.96</v>
      </c>
      <c r="P235" s="33">
        <v>9.5799999999999996E-2</v>
      </c>
      <c r="Q235" s="33">
        <v>0.2094</v>
      </c>
      <c r="R235" s="34">
        <v>1565810</v>
      </c>
      <c r="S235" s="34">
        <v>8626520000</v>
      </c>
      <c r="T235">
        <v>4.1900000000000004</v>
      </c>
      <c r="U235" s="33">
        <v>9.4899999999999998E-2</v>
      </c>
    </row>
    <row r="236" spans="1:21" x14ac:dyDescent="0.25">
      <c r="A236" t="s">
        <v>147</v>
      </c>
      <c r="B236">
        <v>3.64</v>
      </c>
      <c r="C236">
        <v>12.45</v>
      </c>
      <c r="D236">
        <v>2.61</v>
      </c>
      <c r="E236">
        <v>1.121</v>
      </c>
      <c r="F236" s="33">
        <v>6.4399999999999999E-2</v>
      </c>
      <c r="G236">
        <v>0.39100000000000001</v>
      </c>
      <c r="H236">
        <v>3.54</v>
      </c>
      <c r="I236">
        <v>4.91</v>
      </c>
      <c r="J236">
        <v>-0.68</v>
      </c>
      <c r="K236">
        <v>11.39</v>
      </c>
      <c r="L236">
        <v>5.81</v>
      </c>
      <c r="M236" s="33">
        <v>0.22819999999999999</v>
      </c>
      <c r="N236" s="33">
        <v>0.1013</v>
      </c>
      <c r="O236">
        <v>1.96</v>
      </c>
      <c r="P236" s="33">
        <v>9.5799999999999996E-2</v>
      </c>
      <c r="Q236" s="33">
        <v>0.2094</v>
      </c>
      <c r="R236" s="34">
        <v>6702180</v>
      </c>
      <c r="S236" s="34">
        <v>8626520000</v>
      </c>
      <c r="T236">
        <v>4.1900000000000004</v>
      </c>
      <c r="U236" s="33">
        <v>9.4899999999999998E-2</v>
      </c>
    </row>
    <row r="237" spans="1:21" x14ac:dyDescent="0.25">
      <c r="A237" t="s">
        <v>184</v>
      </c>
      <c r="B237">
        <v>8.8699999999999992</v>
      </c>
      <c r="C237">
        <v>-2.79</v>
      </c>
      <c r="D237">
        <v>0.96</v>
      </c>
      <c r="E237">
        <v>0.30299999999999999</v>
      </c>
      <c r="F237" s="33">
        <v>0</v>
      </c>
      <c r="G237">
        <v>0.14299999999999999</v>
      </c>
      <c r="H237">
        <v>1.1000000000000001</v>
      </c>
      <c r="I237">
        <v>2.94</v>
      </c>
      <c r="J237">
        <v>-0.26</v>
      </c>
      <c r="K237">
        <v>15.07</v>
      </c>
      <c r="L237">
        <v>8.6300000000000008</v>
      </c>
      <c r="M237" s="33">
        <v>0.1032</v>
      </c>
      <c r="N237" s="33">
        <v>-0.1085</v>
      </c>
      <c r="O237">
        <v>1.84</v>
      </c>
      <c r="P237" s="33">
        <v>5.5399999999999998E-2</v>
      </c>
      <c r="Q237" s="33">
        <v>-0.3427</v>
      </c>
      <c r="R237" s="34">
        <v>4223.93</v>
      </c>
      <c r="S237" s="34">
        <v>717552000</v>
      </c>
      <c r="T237">
        <v>4.25</v>
      </c>
      <c r="U237" s="33">
        <v>0.13370000000000001</v>
      </c>
    </row>
    <row r="238" spans="1:21" x14ac:dyDescent="0.25">
      <c r="A238" t="s">
        <v>47</v>
      </c>
      <c r="B238">
        <v>10.98</v>
      </c>
      <c r="C238">
        <v>99.53</v>
      </c>
      <c r="D238">
        <v>1.45</v>
      </c>
      <c r="E238">
        <v>14.282999999999999</v>
      </c>
      <c r="F238" s="33">
        <v>6.6E-3</v>
      </c>
      <c r="G238">
        <v>1.105</v>
      </c>
      <c r="H238">
        <v>-71.19</v>
      </c>
      <c r="I238">
        <v>28</v>
      </c>
      <c r="J238">
        <v>-6.38</v>
      </c>
      <c r="K238">
        <v>30.59</v>
      </c>
      <c r="L238">
        <v>28.14</v>
      </c>
      <c r="M238" s="33">
        <v>0.51</v>
      </c>
      <c r="N238" s="33">
        <v>0.14349999999999999</v>
      </c>
      <c r="O238">
        <v>0.8</v>
      </c>
      <c r="P238" s="33">
        <v>3.9699999999999999E-2</v>
      </c>
      <c r="Q238" s="33">
        <v>1.46E-2</v>
      </c>
      <c r="R238" s="34">
        <v>1456340</v>
      </c>
      <c r="S238" s="34">
        <v>729614000</v>
      </c>
      <c r="T238">
        <v>0.14000000000000001</v>
      </c>
      <c r="U238" s="33">
        <v>-7.0300000000000001E-2</v>
      </c>
    </row>
    <row r="239" spans="1:21" x14ac:dyDescent="0.25">
      <c r="A239" t="s">
        <v>89</v>
      </c>
      <c r="B239">
        <v>11.84</v>
      </c>
      <c r="C239">
        <v>6.44</v>
      </c>
      <c r="D239">
        <v>1.55</v>
      </c>
      <c r="E239">
        <v>1.4470000000000001</v>
      </c>
      <c r="F239" s="33">
        <v>8.6699999999999999E-2</v>
      </c>
      <c r="G239">
        <v>0.65600000000000003</v>
      </c>
      <c r="H239">
        <v>1.08</v>
      </c>
      <c r="I239">
        <v>6.67</v>
      </c>
      <c r="J239">
        <v>2.4700000000000002</v>
      </c>
      <c r="K239">
        <v>6.69</v>
      </c>
      <c r="L239">
        <v>6.67</v>
      </c>
      <c r="M239" s="33">
        <v>0.21690000000000001</v>
      </c>
      <c r="N239" s="33">
        <v>0.2606</v>
      </c>
      <c r="O239">
        <v>4.8499999999999996</v>
      </c>
      <c r="P239" s="33">
        <v>0.12559999999999999</v>
      </c>
      <c r="Q239" s="33">
        <v>0.2407</v>
      </c>
      <c r="R239" s="34">
        <v>8179220</v>
      </c>
      <c r="S239" s="34">
        <v>1493340000</v>
      </c>
      <c r="T239">
        <v>0.48</v>
      </c>
      <c r="U239" s="33">
        <v>0.3831</v>
      </c>
    </row>
    <row r="240" spans="1:21" x14ac:dyDescent="0.25">
      <c r="A240" t="s">
        <v>18</v>
      </c>
      <c r="B240">
        <v>30.25</v>
      </c>
      <c r="C240">
        <v>8.2100000000000009</v>
      </c>
      <c r="D240">
        <v>4.62</v>
      </c>
      <c r="E240">
        <v>0.85299999999999998</v>
      </c>
      <c r="F240" s="33">
        <v>8.72E-2</v>
      </c>
      <c r="G240">
        <v>1.1040000000000001</v>
      </c>
      <c r="H240">
        <v>7.15</v>
      </c>
      <c r="I240">
        <v>4.99</v>
      </c>
      <c r="J240">
        <v>-7.54</v>
      </c>
      <c r="K240">
        <v>5.85</v>
      </c>
      <c r="L240">
        <v>5.14</v>
      </c>
      <c r="M240" s="33">
        <v>0.17100000000000001</v>
      </c>
      <c r="N240" s="33">
        <v>0.104</v>
      </c>
      <c r="O240">
        <v>1.34</v>
      </c>
      <c r="P240" s="33">
        <v>0.34749999999999998</v>
      </c>
      <c r="Q240" s="33">
        <v>0.56359999999999999</v>
      </c>
      <c r="R240" s="34">
        <v>10551100</v>
      </c>
      <c r="S240" s="34">
        <v>886641000</v>
      </c>
      <c r="T240">
        <v>1.1599999999999999</v>
      </c>
      <c r="U240" s="33">
        <v>0.14410000000000001</v>
      </c>
    </row>
    <row r="241" spans="1:21" x14ac:dyDescent="0.25">
      <c r="A241" t="s">
        <v>156</v>
      </c>
      <c r="B241">
        <v>7.02</v>
      </c>
      <c r="C241">
        <v>1.08</v>
      </c>
      <c r="D241">
        <v>0.46</v>
      </c>
      <c r="E241">
        <v>0.17100000000000001</v>
      </c>
      <c r="F241" s="33">
        <v>0</v>
      </c>
      <c r="G241">
        <v>9.7000000000000003E-2</v>
      </c>
      <c r="H241">
        <v>1.01</v>
      </c>
      <c r="I241">
        <v>1.35</v>
      </c>
      <c r="J241">
        <v>-0.21</v>
      </c>
      <c r="K241">
        <v>4.66</v>
      </c>
      <c r="L241">
        <v>3.17</v>
      </c>
      <c r="M241" s="33">
        <v>0.1263</v>
      </c>
      <c r="N241" s="33">
        <v>0.15820000000000001</v>
      </c>
      <c r="O241">
        <v>1.44</v>
      </c>
      <c r="P241" s="33">
        <v>9.2100000000000001E-2</v>
      </c>
      <c r="Q241" s="33">
        <v>0.42920000000000003</v>
      </c>
      <c r="R241" s="34">
        <v>6151130</v>
      </c>
      <c r="S241" s="34">
        <v>5639690000</v>
      </c>
      <c r="T241">
        <v>1.77</v>
      </c>
      <c r="U241" s="33">
        <v>1.54E-2</v>
      </c>
    </row>
    <row r="242" spans="1:21" x14ac:dyDescent="0.25">
      <c r="A242" t="s">
        <v>416</v>
      </c>
      <c r="B242">
        <v>36.01</v>
      </c>
      <c r="C242">
        <v>16.64</v>
      </c>
      <c r="D242">
        <v>1.82</v>
      </c>
      <c r="E242">
        <v>0</v>
      </c>
      <c r="F242" s="33">
        <v>3.95E-2</v>
      </c>
      <c r="G242">
        <v>1.706</v>
      </c>
      <c r="H242">
        <v>6.65</v>
      </c>
      <c r="I242">
        <v>-54.89</v>
      </c>
      <c r="J242">
        <v>7.07</v>
      </c>
      <c r="K242">
        <v>-45.91</v>
      </c>
      <c r="L242">
        <v>-45.91</v>
      </c>
      <c r="M242" s="33">
        <v>0</v>
      </c>
      <c r="N242" s="33">
        <v>0</v>
      </c>
      <c r="O242">
        <v>6.18</v>
      </c>
      <c r="P242" s="33">
        <v>-4.3099999999999999E-2</v>
      </c>
      <c r="Q242" s="33">
        <v>0.1096</v>
      </c>
      <c r="R242" s="34">
        <v>1121.43</v>
      </c>
      <c r="S242" s="34">
        <v>232276000</v>
      </c>
      <c r="T242">
        <v>0</v>
      </c>
      <c r="U242" s="33">
        <v>0</v>
      </c>
    </row>
    <row r="243" spans="1:21" x14ac:dyDescent="0.25">
      <c r="A243" t="s">
        <v>253</v>
      </c>
      <c r="B243">
        <v>2.5099999999999998</v>
      </c>
      <c r="C243">
        <v>-5.77</v>
      </c>
      <c r="D243">
        <v>0.91</v>
      </c>
      <c r="E243">
        <v>0.17799999999999999</v>
      </c>
      <c r="F243" s="33">
        <v>4.8599999999999997E-2</v>
      </c>
      <c r="G243">
        <v>0.14299999999999999</v>
      </c>
      <c r="H243">
        <v>0.59</v>
      </c>
      <c r="I243">
        <v>6.7</v>
      </c>
      <c r="J243">
        <v>-0.95</v>
      </c>
      <c r="K243">
        <v>9.02</v>
      </c>
      <c r="L243">
        <v>3.18</v>
      </c>
      <c r="M243" s="33">
        <v>2.6599999999999999E-2</v>
      </c>
      <c r="N243" s="33">
        <v>-3.09E-2</v>
      </c>
      <c r="O243">
        <v>1.54</v>
      </c>
      <c r="P243" s="33">
        <v>2.64E-2</v>
      </c>
      <c r="Q243" s="33">
        <v>-0.15840000000000001</v>
      </c>
      <c r="R243" s="34">
        <v>8710190</v>
      </c>
      <c r="S243" s="34">
        <v>536003000</v>
      </c>
      <c r="T243">
        <v>0.93</v>
      </c>
      <c r="U243" s="33">
        <v>0.1094</v>
      </c>
    </row>
    <row r="244" spans="1:21" x14ac:dyDescent="0.25">
      <c r="A244" t="s">
        <v>143</v>
      </c>
      <c r="B244">
        <v>20.73</v>
      </c>
      <c r="C244">
        <v>4.8600000000000003</v>
      </c>
      <c r="D244">
        <v>0.5</v>
      </c>
      <c r="E244">
        <v>8.2330000000000005</v>
      </c>
      <c r="F244" s="33">
        <v>9.4200000000000006E-2</v>
      </c>
      <c r="G244">
        <v>0.27</v>
      </c>
      <c r="H244">
        <v>13.05</v>
      </c>
      <c r="I244">
        <v>11.43</v>
      </c>
      <c r="J244">
        <v>-0.85</v>
      </c>
      <c r="K244">
        <v>23.45</v>
      </c>
      <c r="L244">
        <v>22.57</v>
      </c>
      <c r="M244" s="33">
        <v>0.72060000000000002</v>
      </c>
      <c r="N244" s="33">
        <v>1.6971000000000001</v>
      </c>
      <c r="O244">
        <v>1.18</v>
      </c>
      <c r="P244" s="33">
        <v>2.4199999999999999E-2</v>
      </c>
      <c r="Q244" s="33">
        <v>0.10199999999999999</v>
      </c>
      <c r="R244" s="34">
        <v>4862680</v>
      </c>
      <c r="S244" s="34">
        <v>3672920000</v>
      </c>
      <c r="T244">
        <v>0.55000000000000004</v>
      </c>
      <c r="U244" s="33">
        <v>0.12239999999999999</v>
      </c>
    </row>
    <row r="245" spans="1:21" x14ac:dyDescent="0.25">
      <c r="A245" t="s">
        <v>212</v>
      </c>
      <c r="B245">
        <v>25.51</v>
      </c>
      <c r="C245">
        <v>38.11</v>
      </c>
      <c r="D245">
        <v>2.71</v>
      </c>
      <c r="E245">
        <v>0.95699999999999996</v>
      </c>
      <c r="F245" s="33">
        <v>0</v>
      </c>
      <c r="G245">
        <v>0.69399999999999995</v>
      </c>
      <c r="H245">
        <v>25.92</v>
      </c>
      <c r="I245">
        <v>10.26</v>
      </c>
      <c r="J245">
        <v>-1.44</v>
      </c>
      <c r="K245">
        <v>15.3</v>
      </c>
      <c r="L245">
        <v>7.37</v>
      </c>
      <c r="M245" s="33">
        <v>9.3200000000000005E-2</v>
      </c>
      <c r="N245" s="33">
        <v>2.5100000000000001E-2</v>
      </c>
      <c r="O245">
        <v>1.1100000000000001</v>
      </c>
      <c r="P245" s="33">
        <v>7.6499999999999999E-2</v>
      </c>
      <c r="Q245" s="33">
        <v>7.0999999999999994E-2</v>
      </c>
      <c r="R245" s="34">
        <v>334335</v>
      </c>
      <c r="S245" s="34">
        <v>1011710000</v>
      </c>
      <c r="T245">
        <v>1.66</v>
      </c>
      <c r="U245" s="33">
        <v>0.2581</v>
      </c>
    </row>
    <row r="246" spans="1:21" x14ac:dyDescent="0.25">
      <c r="A246" t="s">
        <v>163</v>
      </c>
      <c r="B246">
        <v>1.65</v>
      </c>
      <c r="C246">
        <v>11.77</v>
      </c>
      <c r="D246">
        <v>1.05</v>
      </c>
      <c r="E246">
        <v>1.2010000000000001</v>
      </c>
      <c r="F246" s="33">
        <v>4.41E-2</v>
      </c>
      <c r="G246">
        <v>0.59</v>
      </c>
      <c r="H246">
        <v>5.4</v>
      </c>
      <c r="I246">
        <v>6.32</v>
      </c>
      <c r="J246">
        <v>-4.16</v>
      </c>
      <c r="K246">
        <v>4.32</v>
      </c>
      <c r="L246">
        <v>2.86</v>
      </c>
      <c r="M246" s="33">
        <v>0.19009999999999999</v>
      </c>
      <c r="N246" s="33">
        <v>0.16400000000000001</v>
      </c>
      <c r="O246">
        <v>1.56</v>
      </c>
      <c r="P246" s="33">
        <v>0.1168</v>
      </c>
      <c r="Q246" s="33">
        <v>8.8999999999999996E-2</v>
      </c>
      <c r="R246" s="34">
        <v>239684</v>
      </c>
      <c r="S246" s="34">
        <v>232403000</v>
      </c>
      <c r="T246">
        <v>0</v>
      </c>
      <c r="U246" s="33">
        <v>-3.5000000000000001E-3</v>
      </c>
    </row>
    <row r="247" spans="1:21" x14ac:dyDescent="0.25">
      <c r="A247" t="s">
        <v>205</v>
      </c>
      <c r="B247">
        <v>18.36</v>
      </c>
      <c r="C247">
        <v>15.22</v>
      </c>
      <c r="D247">
        <v>1.89</v>
      </c>
      <c r="E247">
        <v>1.3160000000000001</v>
      </c>
      <c r="F247" s="33">
        <v>3.56E-2</v>
      </c>
      <c r="G247">
        <v>1.054</v>
      </c>
      <c r="H247">
        <v>4.5999999999999996</v>
      </c>
      <c r="I247">
        <v>6.14</v>
      </c>
      <c r="J247">
        <v>8.23</v>
      </c>
      <c r="K247">
        <v>5.76</v>
      </c>
      <c r="L247">
        <v>4.13</v>
      </c>
      <c r="M247" s="33">
        <v>0.21429999999999999</v>
      </c>
      <c r="N247" s="33">
        <v>8.6499999999999994E-2</v>
      </c>
      <c r="O247">
        <v>1.67</v>
      </c>
      <c r="P247" s="33">
        <v>0.2056</v>
      </c>
      <c r="Q247" s="33">
        <v>0.1245</v>
      </c>
      <c r="R247" s="34">
        <v>248376000</v>
      </c>
      <c r="S247" s="34">
        <v>10265800000</v>
      </c>
      <c r="T247">
        <v>0.04</v>
      </c>
      <c r="U247" s="33">
        <v>0.1731</v>
      </c>
    </row>
    <row r="248" spans="1:21" x14ac:dyDescent="0.25">
      <c r="A248" t="s">
        <v>191</v>
      </c>
      <c r="B248">
        <v>1.21</v>
      </c>
      <c r="C248">
        <v>-1.48</v>
      </c>
      <c r="D248">
        <v>0.44</v>
      </c>
      <c r="E248">
        <v>0.496</v>
      </c>
      <c r="F248" s="33">
        <v>0</v>
      </c>
      <c r="G248">
        <v>0.105</v>
      </c>
      <c r="H248">
        <v>3.28</v>
      </c>
      <c r="I248">
        <v>-3.05</v>
      </c>
      <c r="J248">
        <v>-0.22</v>
      </c>
      <c r="K248">
        <v>-13.36</v>
      </c>
      <c r="L248">
        <v>-13.35</v>
      </c>
      <c r="M248" s="33">
        <v>-0.16259999999999999</v>
      </c>
      <c r="N248" s="33">
        <v>-0.33560000000000001</v>
      </c>
      <c r="O248">
        <v>1.1299999999999999</v>
      </c>
      <c r="P248" s="33">
        <v>-3.5999999999999997E-2</v>
      </c>
      <c r="Q248" s="33">
        <v>-0.2949</v>
      </c>
      <c r="R248" s="34">
        <v>142522</v>
      </c>
      <c r="S248" s="34">
        <v>121242000</v>
      </c>
      <c r="T248">
        <v>1.49</v>
      </c>
      <c r="U248" s="33">
        <v>0.11890000000000001</v>
      </c>
    </row>
    <row r="249" spans="1:21" x14ac:dyDescent="0.25">
      <c r="A249" t="s">
        <v>417</v>
      </c>
      <c r="B249">
        <v>5</v>
      </c>
      <c r="C249">
        <v>5.69</v>
      </c>
      <c r="D249">
        <v>1.32</v>
      </c>
      <c r="E249">
        <v>1.5369999999999999</v>
      </c>
      <c r="F249" s="33">
        <v>2.3199999999999998E-2</v>
      </c>
      <c r="G249">
        <v>0.93700000000000006</v>
      </c>
      <c r="H249">
        <v>21.9</v>
      </c>
      <c r="I249">
        <v>11.03</v>
      </c>
      <c r="J249">
        <v>-6.46</v>
      </c>
      <c r="K249">
        <v>11.07</v>
      </c>
      <c r="L249">
        <v>5.88</v>
      </c>
      <c r="M249" s="33">
        <v>0.13930000000000001</v>
      </c>
      <c r="N249" s="33">
        <v>0.26989999999999997</v>
      </c>
      <c r="O249">
        <v>1.41</v>
      </c>
      <c r="P249" s="33">
        <v>9.5500000000000002E-2</v>
      </c>
      <c r="Q249" s="33">
        <v>0.2324</v>
      </c>
      <c r="R249" s="34">
        <v>7498.36</v>
      </c>
      <c r="S249" s="34">
        <v>157085000</v>
      </c>
      <c r="T249">
        <v>0.12</v>
      </c>
      <c r="U249" s="33">
        <v>5.0099999999999999E-2</v>
      </c>
    </row>
    <row r="250" spans="1:21" x14ac:dyDescent="0.25">
      <c r="A250" t="s">
        <v>178</v>
      </c>
      <c r="B250">
        <v>3.86</v>
      </c>
      <c r="C250">
        <v>7.64</v>
      </c>
      <c r="D250">
        <v>0.37</v>
      </c>
      <c r="E250">
        <v>0.29099999999999998</v>
      </c>
      <c r="F250" s="33">
        <v>4.9200000000000001E-2</v>
      </c>
      <c r="G250">
        <v>0.16300000000000001</v>
      </c>
      <c r="H250">
        <v>0.78</v>
      </c>
      <c r="I250">
        <v>1.25</v>
      </c>
      <c r="J250">
        <v>-2.21</v>
      </c>
      <c r="K250">
        <v>0.51</v>
      </c>
      <c r="L250">
        <v>0.25</v>
      </c>
      <c r="M250" s="33">
        <v>0.23200000000000001</v>
      </c>
      <c r="N250" s="33">
        <v>3.8100000000000002E-2</v>
      </c>
      <c r="O250">
        <v>1.76</v>
      </c>
      <c r="P250" s="33">
        <v>0.15579999999999999</v>
      </c>
      <c r="Q250" s="33">
        <v>4.8399999999999999E-2</v>
      </c>
      <c r="R250" s="34">
        <v>311944</v>
      </c>
      <c r="S250" s="34">
        <v>662855000</v>
      </c>
      <c r="T250">
        <v>0</v>
      </c>
      <c r="U250" s="33">
        <v>-9.2299999999999993E-2</v>
      </c>
    </row>
    <row r="251" spans="1:21" x14ac:dyDescent="0.25">
      <c r="A251" t="s">
        <v>162</v>
      </c>
      <c r="B251">
        <v>4.08</v>
      </c>
      <c r="C251">
        <v>70.59</v>
      </c>
      <c r="D251">
        <v>0.84</v>
      </c>
      <c r="E251">
        <v>1.6419999999999999</v>
      </c>
      <c r="F251" s="33">
        <v>1.7600000000000001E-2</v>
      </c>
      <c r="G251">
        <v>0.57499999999999996</v>
      </c>
      <c r="H251">
        <v>11.83</v>
      </c>
      <c r="I251">
        <v>18.690000000000001</v>
      </c>
      <c r="J251">
        <v>32.659999999999997</v>
      </c>
      <c r="K251">
        <v>15.47</v>
      </c>
      <c r="L251">
        <v>7.42</v>
      </c>
      <c r="M251" s="33">
        <v>8.7900000000000006E-2</v>
      </c>
      <c r="N251" s="33">
        <v>2.3300000000000001E-2</v>
      </c>
      <c r="O251">
        <v>1.17</v>
      </c>
      <c r="P251" s="33">
        <v>3.5299999999999998E-2</v>
      </c>
      <c r="Q251" s="33">
        <v>1.1900000000000001E-2</v>
      </c>
      <c r="R251" s="34">
        <v>31980700</v>
      </c>
      <c r="S251" s="34">
        <v>2736470000</v>
      </c>
      <c r="T251">
        <v>0.03</v>
      </c>
      <c r="U251" s="33">
        <v>0.2555</v>
      </c>
    </row>
    <row r="252" spans="1:21" x14ac:dyDescent="0.25">
      <c r="A252" t="s">
        <v>418</v>
      </c>
      <c r="B252">
        <v>3.05</v>
      </c>
      <c r="C252">
        <v>-17.41</v>
      </c>
      <c r="D252">
        <v>-0.43</v>
      </c>
      <c r="E252">
        <v>0</v>
      </c>
      <c r="F252" s="33">
        <v>0</v>
      </c>
      <c r="G252">
        <v>3.621</v>
      </c>
      <c r="H252">
        <v>-49.17</v>
      </c>
      <c r="I252">
        <v>-22.79</v>
      </c>
      <c r="J252">
        <v>-0.39</v>
      </c>
      <c r="K252">
        <v>-22.78</v>
      </c>
      <c r="L252">
        <v>-22.78</v>
      </c>
      <c r="M252" s="33">
        <v>0</v>
      </c>
      <c r="N252" s="33">
        <v>0</v>
      </c>
      <c r="O252">
        <v>0.02</v>
      </c>
      <c r="P252" s="33">
        <v>-0.1595</v>
      </c>
      <c r="Q252" s="33">
        <v>2.4899999999999999E-2</v>
      </c>
      <c r="R252" s="34">
        <v>95</v>
      </c>
      <c r="S252" s="34">
        <v>-6474000</v>
      </c>
      <c r="T252">
        <v>0</v>
      </c>
      <c r="U252" s="33">
        <v>0</v>
      </c>
    </row>
    <row r="253" spans="1:21" x14ac:dyDescent="0.25">
      <c r="A253" t="s">
        <v>419</v>
      </c>
      <c r="B253">
        <v>5.51</v>
      </c>
      <c r="C253">
        <v>-31.45</v>
      </c>
      <c r="D253">
        <v>-0.78</v>
      </c>
      <c r="E253">
        <v>0</v>
      </c>
      <c r="F253" s="33">
        <v>0</v>
      </c>
      <c r="G253">
        <v>6.5419999999999998</v>
      </c>
      <c r="H253">
        <v>-88.84</v>
      </c>
      <c r="I253">
        <v>-41.17</v>
      </c>
      <c r="J253">
        <v>-0.7</v>
      </c>
      <c r="K253">
        <v>-41.16</v>
      </c>
      <c r="L253">
        <v>-41.16</v>
      </c>
      <c r="M253" s="33">
        <v>0</v>
      </c>
      <c r="N253" s="33">
        <v>0</v>
      </c>
      <c r="O253">
        <v>0.02</v>
      </c>
      <c r="P253" s="33">
        <v>-0.1595</v>
      </c>
      <c r="Q253" s="33">
        <v>2.4899999999999999E-2</v>
      </c>
      <c r="R253" s="34">
        <v>3038.19</v>
      </c>
      <c r="S253" s="34">
        <v>-6474000</v>
      </c>
      <c r="T253">
        <v>0</v>
      </c>
      <c r="U253" s="33">
        <v>0</v>
      </c>
    </row>
    <row r="254" spans="1:21" x14ac:dyDescent="0.25">
      <c r="A254" t="s">
        <v>188</v>
      </c>
      <c r="B254">
        <v>4.4000000000000004</v>
      </c>
      <c r="C254">
        <v>-4.1399999999999997</v>
      </c>
      <c r="D254">
        <v>1.03</v>
      </c>
      <c r="E254">
        <v>0.69699999999999995</v>
      </c>
      <c r="F254" s="33">
        <v>1.7000000000000001E-2</v>
      </c>
      <c r="G254">
        <v>0.34100000000000003</v>
      </c>
      <c r="H254" s="34">
        <v>1.49</v>
      </c>
      <c r="I254">
        <v>4.55</v>
      </c>
      <c r="J254">
        <v>-1.0900000000000001</v>
      </c>
      <c r="K254">
        <v>6.87</v>
      </c>
      <c r="L254">
        <v>5.16</v>
      </c>
      <c r="M254" s="33">
        <v>0.153</v>
      </c>
      <c r="N254" s="33">
        <v>-0.16320000000000001</v>
      </c>
      <c r="O254">
        <v>2.95</v>
      </c>
      <c r="P254" s="33">
        <v>9.1899999999999996E-2</v>
      </c>
      <c r="Q254" s="33">
        <v>-0.248</v>
      </c>
      <c r="R254" s="34">
        <v>1706290</v>
      </c>
      <c r="S254" s="34">
        <v>1454640000</v>
      </c>
      <c r="T254">
        <v>0.98</v>
      </c>
      <c r="U254" s="33">
        <v>0.33379999999999999</v>
      </c>
    </row>
    <row r="255" spans="1:21" x14ac:dyDescent="0.25">
      <c r="A255" t="s">
        <v>132</v>
      </c>
      <c r="B255">
        <v>0.99</v>
      </c>
      <c r="C255">
        <v>-0.95</v>
      </c>
      <c r="D255">
        <v>374.17</v>
      </c>
      <c r="E255">
        <v>0.182</v>
      </c>
      <c r="F255" s="33">
        <v>0</v>
      </c>
      <c r="G255">
        <v>62.78</v>
      </c>
      <c r="H255" s="34">
        <v>1785.45</v>
      </c>
      <c r="I255">
        <v>-2.65</v>
      </c>
      <c r="J255">
        <v>-106.33</v>
      </c>
      <c r="K255">
        <v>-2.66</v>
      </c>
      <c r="L255">
        <v>3</v>
      </c>
      <c r="M255" s="33">
        <v>-6.88E-2</v>
      </c>
      <c r="N255" s="33">
        <v>-0.21429999999999999</v>
      </c>
      <c r="O255">
        <v>1.1200000000000001</v>
      </c>
      <c r="P255" s="33">
        <v>-26.575500000000002</v>
      </c>
      <c r="Q255" s="33">
        <v>-393.87700000000001</v>
      </c>
      <c r="R255" s="34">
        <v>393897</v>
      </c>
      <c r="S255" s="34">
        <v>324818</v>
      </c>
      <c r="T255">
        <v>1.94</v>
      </c>
      <c r="U255" s="33">
        <v>-2.3900000000000001E-2</v>
      </c>
    </row>
    <row r="256" spans="1:21" x14ac:dyDescent="0.25">
      <c r="A256" t="s">
        <v>85</v>
      </c>
      <c r="B256">
        <v>23.11</v>
      </c>
      <c r="C256">
        <v>13.98</v>
      </c>
      <c r="D256">
        <v>0.98</v>
      </c>
      <c r="E256">
        <v>0.80500000000000005</v>
      </c>
      <c r="F256" s="33">
        <v>2.5100000000000001E-2</v>
      </c>
      <c r="G256">
        <v>0.61199999999999999</v>
      </c>
      <c r="H256">
        <v>2.4700000000000002</v>
      </c>
      <c r="I256">
        <v>9.15</v>
      </c>
      <c r="J256">
        <v>7.35</v>
      </c>
      <c r="K256">
        <v>9.17</v>
      </c>
      <c r="L256">
        <v>6.36</v>
      </c>
      <c r="M256" s="33">
        <v>8.7999999999999995E-2</v>
      </c>
      <c r="N256" s="33">
        <v>5.7599999999999998E-2</v>
      </c>
      <c r="O256">
        <v>2.15</v>
      </c>
      <c r="P256" s="33">
        <v>9.0499999999999997E-2</v>
      </c>
      <c r="Q256" s="33">
        <v>7.0400000000000004E-2</v>
      </c>
      <c r="R256" s="34">
        <v>13172100</v>
      </c>
      <c r="S256" s="34">
        <v>7956180000</v>
      </c>
      <c r="T256">
        <v>0.28999999999999998</v>
      </c>
      <c r="U256" s="33">
        <v>9.1300000000000006E-2</v>
      </c>
    </row>
    <row r="257" spans="1:21" x14ac:dyDescent="0.25">
      <c r="A257" t="s">
        <v>171</v>
      </c>
      <c r="B257">
        <v>22.7</v>
      </c>
      <c r="C257">
        <v>6.9</v>
      </c>
      <c r="D257">
        <v>1.2</v>
      </c>
      <c r="E257">
        <v>1.133</v>
      </c>
      <c r="F257" s="33">
        <v>5.4699999999999999E-2</v>
      </c>
      <c r="G257">
        <v>0.45800000000000002</v>
      </c>
      <c r="H257">
        <v>1.52</v>
      </c>
      <c r="I257">
        <v>6.09</v>
      </c>
      <c r="J257">
        <v>-3.45</v>
      </c>
      <c r="K257">
        <v>6.49</v>
      </c>
      <c r="L257">
        <v>6.26</v>
      </c>
      <c r="M257" s="33">
        <v>0.18609999999999999</v>
      </c>
      <c r="N257" s="33">
        <v>0.16420000000000001</v>
      </c>
      <c r="O257">
        <v>2.62</v>
      </c>
      <c r="P257" s="33">
        <v>8.6800000000000002E-2</v>
      </c>
      <c r="Q257" s="33">
        <v>0.17330000000000001</v>
      </c>
      <c r="R257" s="34">
        <v>13363700</v>
      </c>
      <c r="S257" s="34">
        <v>1611720000</v>
      </c>
      <c r="T257">
        <v>0.33</v>
      </c>
      <c r="U257" s="33">
        <v>0.31069999999999998</v>
      </c>
    </row>
    <row r="258" spans="1:21" x14ac:dyDescent="0.25">
      <c r="A258" t="s">
        <v>41</v>
      </c>
      <c r="B258">
        <v>1.1299999999999999</v>
      </c>
      <c r="C258">
        <v>-3.72</v>
      </c>
      <c r="D258">
        <v>0.33</v>
      </c>
      <c r="E258">
        <v>0.14599999999999999</v>
      </c>
      <c r="F258" s="33">
        <v>0</v>
      </c>
      <c r="G258">
        <v>0.122</v>
      </c>
      <c r="H258">
        <v>-1.52</v>
      </c>
      <c r="I258">
        <v>-3.03</v>
      </c>
      <c r="J258">
        <v>-0.26</v>
      </c>
      <c r="K258">
        <v>-6.7</v>
      </c>
      <c r="L258">
        <v>5.0599999999999996</v>
      </c>
      <c r="M258" s="33">
        <v>-4.82E-2</v>
      </c>
      <c r="N258" s="33">
        <v>-3.9199999999999999E-2</v>
      </c>
      <c r="O258">
        <v>0.66</v>
      </c>
      <c r="P258" s="33">
        <v>-4.7500000000000001E-2</v>
      </c>
      <c r="Q258" s="33">
        <v>-8.8099999999999998E-2</v>
      </c>
      <c r="R258" s="34">
        <v>692596</v>
      </c>
      <c r="S258" s="34">
        <v>987889000</v>
      </c>
      <c r="T258">
        <v>0.59</v>
      </c>
      <c r="U258" s="33">
        <v>0.1593</v>
      </c>
    </row>
    <row r="259" spans="1:21" x14ac:dyDescent="0.25">
      <c r="A259" t="s">
        <v>102</v>
      </c>
      <c r="B259">
        <v>3.33</v>
      </c>
      <c r="C259">
        <v>12.61</v>
      </c>
      <c r="D259">
        <v>0.63</v>
      </c>
      <c r="E259">
        <v>0.68100000000000005</v>
      </c>
      <c r="F259" s="33">
        <v>0.32019999999999998</v>
      </c>
      <c r="G259">
        <v>0.27600000000000002</v>
      </c>
      <c r="H259">
        <v>0.56000000000000005</v>
      </c>
      <c r="I259">
        <v>10.79</v>
      </c>
      <c r="J259">
        <v>1.04</v>
      </c>
      <c r="K259">
        <v>10.78</v>
      </c>
      <c r="L259">
        <v>10.16</v>
      </c>
      <c r="M259" s="33">
        <v>6.3100000000000003E-2</v>
      </c>
      <c r="N259" s="33">
        <v>0.11459999999999999</v>
      </c>
      <c r="O259">
        <v>2.78</v>
      </c>
      <c r="P259" s="33">
        <v>3.0599999999999999E-2</v>
      </c>
      <c r="Q259" s="33">
        <v>5.0299999999999997E-2</v>
      </c>
      <c r="R259" s="34">
        <v>1244750</v>
      </c>
      <c r="S259" s="34">
        <v>1083040000</v>
      </c>
      <c r="T259">
        <v>0.32</v>
      </c>
      <c r="U259" s="33">
        <v>0.1419</v>
      </c>
    </row>
    <row r="260" spans="1:21" x14ac:dyDescent="0.25">
      <c r="A260" t="s">
        <v>420</v>
      </c>
      <c r="B260">
        <v>9.5</v>
      </c>
      <c r="C260">
        <v>12.92</v>
      </c>
      <c r="D260">
        <v>0.67</v>
      </c>
      <c r="E260">
        <v>0</v>
      </c>
      <c r="F260" s="33">
        <v>5.57E-2</v>
      </c>
      <c r="G260">
        <v>0</v>
      </c>
      <c r="H260">
        <v>0</v>
      </c>
      <c r="I260">
        <v>0</v>
      </c>
      <c r="J260">
        <v>0</v>
      </c>
      <c r="K260">
        <v>0</v>
      </c>
      <c r="L260">
        <v>0</v>
      </c>
      <c r="M260" s="33">
        <v>0</v>
      </c>
      <c r="N260" s="33">
        <v>0</v>
      </c>
      <c r="O260">
        <v>0</v>
      </c>
      <c r="P260" s="33">
        <v>0</v>
      </c>
      <c r="Q260" s="33">
        <v>5.1900000000000002E-2</v>
      </c>
      <c r="R260" s="34">
        <v>480</v>
      </c>
      <c r="S260" s="34">
        <v>581333000</v>
      </c>
      <c r="T260">
        <v>0</v>
      </c>
      <c r="U260" s="33">
        <v>0.11169999999999999</v>
      </c>
    </row>
    <row r="261" spans="1:21" x14ac:dyDescent="0.25">
      <c r="A261" t="s">
        <v>262</v>
      </c>
      <c r="B261">
        <v>5.08</v>
      </c>
      <c r="C261">
        <v>-1.17</v>
      </c>
      <c r="D261">
        <v>3.15</v>
      </c>
      <c r="E261">
        <v>0.03</v>
      </c>
      <c r="F261" s="33">
        <v>0</v>
      </c>
      <c r="G261">
        <v>3.7999999999999999E-2</v>
      </c>
      <c r="H261">
        <v>0.22</v>
      </c>
      <c r="I261">
        <v>0.39</v>
      </c>
      <c r="J261">
        <v>-7.0000000000000007E-2</v>
      </c>
      <c r="K261">
        <v>7.97</v>
      </c>
      <c r="L261">
        <v>6.18</v>
      </c>
      <c r="M261" s="33">
        <v>7.6999999999999999E-2</v>
      </c>
      <c r="N261" s="33">
        <v>-2.5899999999999999E-2</v>
      </c>
      <c r="O261">
        <v>1.56</v>
      </c>
      <c r="P261" s="33">
        <v>0.1167</v>
      </c>
      <c r="Q261" s="33">
        <v>-2.6882999999999999</v>
      </c>
      <c r="R261" s="34">
        <v>20773.900000000001</v>
      </c>
      <c r="S261" s="34">
        <v>9319000</v>
      </c>
      <c r="T261">
        <v>66.91</v>
      </c>
      <c r="U261" s="33">
        <v>9.9000000000000005E-2</v>
      </c>
    </row>
    <row r="262" spans="1:21" x14ac:dyDescent="0.25">
      <c r="A262" t="s">
        <v>421</v>
      </c>
      <c r="B262">
        <v>8.94</v>
      </c>
      <c r="C262">
        <v>15.24</v>
      </c>
      <c r="D262">
        <v>0.57999999999999996</v>
      </c>
      <c r="E262">
        <v>0.17299999999999999</v>
      </c>
      <c r="F262" s="33">
        <v>3.4200000000000001E-2</v>
      </c>
      <c r="G262">
        <v>0.186</v>
      </c>
      <c r="H262">
        <v>2.1800000000000002</v>
      </c>
      <c r="I262">
        <v>3.66</v>
      </c>
      <c r="J262">
        <v>-1.07</v>
      </c>
      <c r="K262">
        <v>5.24</v>
      </c>
      <c r="L262">
        <v>3.01</v>
      </c>
      <c r="M262" s="33">
        <v>4.7300000000000002E-2</v>
      </c>
      <c r="N262" s="33">
        <v>1.14E-2</v>
      </c>
      <c r="O262">
        <v>1.2</v>
      </c>
      <c r="P262" s="33">
        <v>7.2499999999999995E-2</v>
      </c>
      <c r="Q262" s="33">
        <v>3.8199999999999998E-2</v>
      </c>
      <c r="R262" s="34">
        <v>287630000</v>
      </c>
      <c r="S262" s="34">
        <v>11357900000</v>
      </c>
      <c r="T262">
        <v>0.4</v>
      </c>
      <c r="U262" s="33">
        <v>3.7999999999999999E-2</v>
      </c>
    </row>
    <row r="263" spans="1:21" x14ac:dyDescent="0.25">
      <c r="A263" t="s">
        <v>159</v>
      </c>
      <c r="B263">
        <v>10.66</v>
      </c>
      <c r="C263">
        <v>8.76</v>
      </c>
      <c r="D263">
        <v>1.68</v>
      </c>
      <c r="E263">
        <v>1.5269999999999999</v>
      </c>
      <c r="F263" s="33">
        <v>5.7700000000000001E-2</v>
      </c>
      <c r="G263">
        <v>0.64100000000000001</v>
      </c>
      <c r="H263">
        <v>3.34</v>
      </c>
      <c r="I263">
        <v>4.47</v>
      </c>
      <c r="J263">
        <v>-2.46</v>
      </c>
      <c r="K263">
        <v>6.59</v>
      </c>
      <c r="L263">
        <v>4.6100000000000003</v>
      </c>
      <c r="M263" s="33">
        <v>0.34150000000000003</v>
      </c>
      <c r="N263" s="33">
        <v>0.17460000000000001</v>
      </c>
      <c r="O263">
        <v>2.17</v>
      </c>
      <c r="P263" s="33">
        <v>0.18529999999999999</v>
      </c>
      <c r="Q263" s="33">
        <v>0.19170000000000001</v>
      </c>
      <c r="R263" s="34">
        <v>7948360</v>
      </c>
      <c r="S263" s="34">
        <v>1487240000</v>
      </c>
      <c r="T263">
        <v>1.28</v>
      </c>
      <c r="U263" s="33">
        <v>0.32</v>
      </c>
    </row>
    <row r="264" spans="1:21" x14ac:dyDescent="0.25">
      <c r="A264" t="s">
        <v>181</v>
      </c>
      <c r="B264">
        <v>1.07</v>
      </c>
      <c r="C264">
        <v>-4.68</v>
      </c>
      <c r="D264">
        <v>0.3</v>
      </c>
      <c r="E264">
        <v>0.25700000000000001</v>
      </c>
      <c r="F264" s="33">
        <v>0</v>
      </c>
      <c r="G264">
        <v>0.16600000000000001</v>
      </c>
      <c r="H264">
        <v>0.47</v>
      </c>
      <c r="I264">
        <v>-6.08</v>
      </c>
      <c r="J264">
        <v>0.72</v>
      </c>
      <c r="K264">
        <v>-7.58</v>
      </c>
      <c r="L264">
        <v>-12.97</v>
      </c>
      <c r="M264" s="33">
        <v>-4.2200000000000001E-2</v>
      </c>
      <c r="N264" s="33">
        <v>-5.4800000000000001E-2</v>
      </c>
      <c r="O264">
        <v>2.11</v>
      </c>
      <c r="P264" s="33">
        <v>-3.78E-2</v>
      </c>
      <c r="Q264" s="33">
        <v>-6.3500000000000001E-2</v>
      </c>
      <c r="R264" s="34">
        <v>2441320</v>
      </c>
      <c r="S264" s="34">
        <v>2953430000</v>
      </c>
      <c r="T264">
        <v>0.23</v>
      </c>
      <c r="U264" s="33">
        <v>-9.1899999999999996E-2</v>
      </c>
    </row>
    <row r="265" spans="1:21" x14ac:dyDescent="0.25">
      <c r="A265" t="s">
        <v>422</v>
      </c>
      <c r="B265">
        <v>20</v>
      </c>
      <c r="C265">
        <v>76.319999999999993</v>
      </c>
      <c r="D265">
        <v>1.24</v>
      </c>
      <c r="E265">
        <v>0.2</v>
      </c>
      <c r="F265" s="33">
        <v>0</v>
      </c>
      <c r="G265">
        <v>0.14000000000000001</v>
      </c>
      <c r="H265">
        <v>-1.44</v>
      </c>
      <c r="I265">
        <v>1.97</v>
      </c>
      <c r="J265">
        <v>-0.3</v>
      </c>
      <c r="K265">
        <v>6.72</v>
      </c>
      <c r="L265">
        <v>5.81</v>
      </c>
      <c r="M265" s="33">
        <v>0.10150000000000001</v>
      </c>
      <c r="N265" s="33">
        <v>2.5999999999999999E-3</v>
      </c>
      <c r="O265">
        <v>0.81</v>
      </c>
      <c r="P265" s="33">
        <v>7.6300000000000007E-2</v>
      </c>
      <c r="Q265" s="33">
        <v>1.6199999999999999E-2</v>
      </c>
      <c r="R265" s="34">
        <v>25057</v>
      </c>
      <c r="S265" s="34">
        <v>160158000</v>
      </c>
      <c r="T265">
        <v>3</v>
      </c>
      <c r="U265" s="33">
        <v>0.1429</v>
      </c>
    </row>
    <row r="266" spans="1:21" x14ac:dyDescent="0.25">
      <c r="A266" t="s">
        <v>423</v>
      </c>
      <c r="B266">
        <v>24.01</v>
      </c>
      <c r="C266">
        <v>11.75</v>
      </c>
      <c r="D266">
        <v>-0.56999999999999995</v>
      </c>
      <c r="E266">
        <v>0.47</v>
      </c>
      <c r="F266" s="33">
        <v>0</v>
      </c>
      <c r="G266">
        <v>0.44800000000000001</v>
      </c>
      <c r="H266">
        <v>-0.46</v>
      </c>
      <c r="I266">
        <v>2.6</v>
      </c>
      <c r="J266">
        <v>-0.37</v>
      </c>
      <c r="K266">
        <v>2.6</v>
      </c>
      <c r="L266">
        <v>2.29</v>
      </c>
      <c r="M266" s="33">
        <v>0.1804</v>
      </c>
      <c r="N266" s="33">
        <v>4.0099999999999997E-2</v>
      </c>
      <c r="O266">
        <v>0.37</v>
      </c>
      <c r="P266" s="33">
        <v>0.1817</v>
      </c>
      <c r="Q266" s="33">
        <v>-4.8300000000000003E-2</v>
      </c>
      <c r="R266" s="34">
        <v>85336.5</v>
      </c>
      <c r="S266" s="34">
        <v>-300501000</v>
      </c>
      <c r="T266">
        <v>0</v>
      </c>
      <c r="U266" s="33">
        <v>7.1999999999999995E-2</v>
      </c>
    </row>
    <row r="267" spans="1:21" x14ac:dyDescent="0.25">
      <c r="A267" t="s">
        <v>424</v>
      </c>
      <c r="B267">
        <v>150</v>
      </c>
      <c r="C267">
        <v>-22.64</v>
      </c>
      <c r="D267">
        <v>1.85</v>
      </c>
      <c r="E267">
        <v>0</v>
      </c>
      <c r="F267" s="33">
        <v>0.3347</v>
      </c>
      <c r="G267">
        <v>0.86699999999999999</v>
      </c>
      <c r="H267">
        <v>1.72</v>
      </c>
      <c r="I267">
        <v>-71.959999999999994</v>
      </c>
      <c r="J267">
        <v>12.11</v>
      </c>
      <c r="K267">
        <v>-50.68</v>
      </c>
      <c r="L267">
        <v>-52.05</v>
      </c>
      <c r="M267" s="33">
        <v>0</v>
      </c>
      <c r="N267" s="33">
        <v>0</v>
      </c>
      <c r="O267">
        <v>6.12</v>
      </c>
      <c r="P267" s="33">
        <v>-2.8299999999999999E-2</v>
      </c>
      <c r="Q267" s="33">
        <v>-8.1900000000000001E-2</v>
      </c>
      <c r="R267" s="34">
        <v>107609</v>
      </c>
      <c r="S267" s="34">
        <v>990925000</v>
      </c>
      <c r="T267">
        <v>0.68</v>
      </c>
      <c r="U267" s="33">
        <v>-0.99450000000000005</v>
      </c>
    </row>
    <row r="268" spans="1:21" x14ac:dyDescent="0.25">
      <c r="A268" t="s">
        <v>425</v>
      </c>
      <c r="B268">
        <v>13.37</v>
      </c>
      <c r="C268">
        <v>18.59</v>
      </c>
      <c r="D268">
        <v>1.9</v>
      </c>
      <c r="E268">
        <v>1.2450000000000001</v>
      </c>
      <c r="F268" s="33">
        <v>2.3199999999999998E-2</v>
      </c>
      <c r="G268">
        <v>0.43099999999999999</v>
      </c>
      <c r="H268">
        <v>5.85</v>
      </c>
      <c r="I268">
        <v>4.8</v>
      </c>
      <c r="J268">
        <v>-0.71</v>
      </c>
      <c r="K268">
        <v>10.33</v>
      </c>
      <c r="L268">
        <v>8</v>
      </c>
      <c r="M268" s="33">
        <v>0.25929999999999997</v>
      </c>
      <c r="N268" s="33">
        <v>7.0199999999999999E-2</v>
      </c>
      <c r="O268">
        <v>1.81</v>
      </c>
      <c r="P268" s="33">
        <v>0.1021</v>
      </c>
      <c r="Q268" s="33">
        <v>0.1023</v>
      </c>
      <c r="R268" s="34">
        <v>118826000</v>
      </c>
      <c r="S268" s="34">
        <v>14199100000</v>
      </c>
      <c r="T268">
        <v>2.65</v>
      </c>
      <c r="U268" s="33">
        <v>0.16200000000000001</v>
      </c>
    </row>
    <row r="269" spans="1:21" x14ac:dyDescent="0.25">
      <c r="A269" t="s">
        <v>236</v>
      </c>
      <c r="B269">
        <v>7.72</v>
      </c>
      <c r="C269">
        <v>10.28</v>
      </c>
      <c r="D269">
        <v>1.03</v>
      </c>
      <c r="E269">
        <v>0.191</v>
      </c>
      <c r="F269" s="33">
        <v>2.4E-2</v>
      </c>
      <c r="G269">
        <v>9.1999999999999998E-2</v>
      </c>
      <c r="H269">
        <v>-2.39</v>
      </c>
      <c r="I269">
        <v>0.89</v>
      </c>
      <c r="J269">
        <v>-0.14000000000000001</v>
      </c>
      <c r="K269">
        <v>6.5</v>
      </c>
      <c r="L269">
        <v>3.76</v>
      </c>
      <c r="M269" s="33">
        <v>0.21510000000000001</v>
      </c>
      <c r="N269" s="33">
        <v>1.8599999999999998E-2</v>
      </c>
      <c r="O269">
        <v>0.87</v>
      </c>
      <c r="P269" s="33">
        <v>0.1331</v>
      </c>
      <c r="Q269" s="33">
        <v>0.1002</v>
      </c>
      <c r="R269" s="34">
        <v>42109200</v>
      </c>
      <c r="S269" s="34">
        <v>2607680000</v>
      </c>
      <c r="T269">
        <v>7.66</v>
      </c>
      <c r="U269" s="33">
        <v>0.3589</v>
      </c>
    </row>
    <row r="270" spans="1:21" x14ac:dyDescent="0.25">
      <c r="A270" t="s">
        <v>111</v>
      </c>
      <c r="B270">
        <v>25.18</v>
      </c>
      <c r="C270">
        <v>7.66</v>
      </c>
      <c r="D270">
        <v>7.67</v>
      </c>
      <c r="E270">
        <v>0.13800000000000001</v>
      </c>
      <c r="F270" s="33">
        <v>0.1188</v>
      </c>
      <c r="G270">
        <v>0.16</v>
      </c>
      <c r="H270">
        <v>2.39</v>
      </c>
      <c r="I270">
        <v>3.28</v>
      </c>
      <c r="J270">
        <v>-0.33</v>
      </c>
      <c r="K270">
        <v>9.85</v>
      </c>
      <c r="L270">
        <v>4.68</v>
      </c>
      <c r="M270" s="33">
        <v>4.2099999999999999E-2</v>
      </c>
      <c r="N270" s="33">
        <v>2.64E-2</v>
      </c>
      <c r="O270">
        <v>1.22</v>
      </c>
      <c r="P270" s="33">
        <v>6.9900000000000004E-2</v>
      </c>
      <c r="Q270" s="33">
        <v>1.0015000000000001</v>
      </c>
      <c r="R270" s="34">
        <v>171943000</v>
      </c>
      <c r="S270" s="34">
        <v>2816470000</v>
      </c>
      <c r="T270">
        <v>22.57</v>
      </c>
      <c r="U270" s="33">
        <v>0.21590000000000001</v>
      </c>
    </row>
    <row r="271" spans="1:21" x14ac:dyDescent="0.25">
      <c r="A271" t="s">
        <v>426</v>
      </c>
      <c r="B271">
        <v>26.3</v>
      </c>
      <c r="C271">
        <v>6.43</v>
      </c>
      <c r="D271">
        <v>1.1499999999999999</v>
      </c>
      <c r="E271">
        <v>1.2589999999999999</v>
      </c>
      <c r="F271" s="33">
        <v>0</v>
      </c>
      <c r="G271">
        <v>0.434</v>
      </c>
      <c r="H271">
        <v>4.58</v>
      </c>
      <c r="I271">
        <v>3.73</v>
      </c>
      <c r="J271">
        <v>-1.1299999999999999</v>
      </c>
      <c r="K271">
        <v>5.65</v>
      </c>
      <c r="L271">
        <v>3.93</v>
      </c>
      <c r="M271" s="33">
        <v>0.33810000000000001</v>
      </c>
      <c r="N271" s="33">
        <v>0.19589999999999999</v>
      </c>
      <c r="O271">
        <v>1.67</v>
      </c>
      <c r="P271" s="33">
        <v>0.1474</v>
      </c>
      <c r="Q271" s="33">
        <v>0.1784</v>
      </c>
      <c r="R271" s="34">
        <v>1518.45</v>
      </c>
      <c r="S271" s="34">
        <v>7748660000</v>
      </c>
      <c r="T271">
        <v>1.07</v>
      </c>
      <c r="U271" s="33">
        <v>0.1729</v>
      </c>
    </row>
    <row r="272" spans="1:21" x14ac:dyDescent="0.25">
      <c r="A272" t="s">
        <v>426</v>
      </c>
      <c r="B272">
        <v>26.3</v>
      </c>
      <c r="C272">
        <v>6.43</v>
      </c>
      <c r="D272">
        <v>1.1499999999999999</v>
      </c>
      <c r="E272">
        <v>1.2589999999999999</v>
      </c>
      <c r="F272" s="33">
        <v>0</v>
      </c>
      <c r="G272">
        <v>0.434</v>
      </c>
      <c r="H272">
        <v>4.58</v>
      </c>
      <c r="I272">
        <v>3.73</v>
      </c>
      <c r="J272">
        <v>-1.1299999999999999</v>
      </c>
      <c r="K272">
        <v>5.65</v>
      </c>
      <c r="L272">
        <v>3.93</v>
      </c>
      <c r="M272" s="33">
        <v>0.33810000000000001</v>
      </c>
      <c r="N272" s="33">
        <v>0.19589999999999999</v>
      </c>
      <c r="O272">
        <v>1.67</v>
      </c>
      <c r="P272" s="33">
        <v>0.1474</v>
      </c>
      <c r="Q272" s="33">
        <v>0.1784</v>
      </c>
      <c r="R272" s="34">
        <v>1518.45</v>
      </c>
      <c r="S272" s="34">
        <v>7748660000</v>
      </c>
      <c r="T272">
        <v>1.07</v>
      </c>
      <c r="U272" s="33">
        <v>0.1729</v>
      </c>
    </row>
    <row r="273" spans="1:21" x14ac:dyDescent="0.25">
      <c r="A273" t="s">
        <v>427</v>
      </c>
      <c r="B273">
        <v>25.93</v>
      </c>
      <c r="C273">
        <v>6.34</v>
      </c>
      <c r="D273">
        <v>1.1299999999999999</v>
      </c>
      <c r="E273">
        <v>1.242</v>
      </c>
      <c r="F273" s="33">
        <v>4.0399999999999998E-2</v>
      </c>
      <c r="G273">
        <v>0.42799999999999999</v>
      </c>
      <c r="H273">
        <v>4.5199999999999996</v>
      </c>
      <c r="I273">
        <v>3.67</v>
      </c>
      <c r="J273">
        <v>-1.1100000000000001</v>
      </c>
      <c r="K273">
        <v>5.6</v>
      </c>
      <c r="L273">
        <v>3.9</v>
      </c>
      <c r="M273" s="33">
        <v>0.33810000000000001</v>
      </c>
      <c r="N273" s="33">
        <v>0.19589999999999999</v>
      </c>
      <c r="O273">
        <v>1.67</v>
      </c>
      <c r="P273" s="33">
        <v>0.1474</v>
      </c>
      <c r="Q273" s="33">
        <v>0.1784</v>
      </c>
      <c r="R273" s="34">
        <v>380.67</v>
      </c>
      <c r="S273" s="34">
        <v>7748660000</v>
      </c>
      <c r="T273">
        <v>1.07</v>
      </c>
      <c r="U273" s="33">
        <v>0.1729</v>
      </c>
    </row>
    <row r="274" spans="1:21" x14ac:dyDescent="0.25">
      <c r="A274" t="s">
        <v>427</v>
      </c>
      <c r="B274">
        <v>25.93</v>
      </c>
      <c r="C274">
        <v>6.34</v>
      </c>
      <c r="D274">
        <v>1.1299999999999999</v>
      </c>
      <c r="E274">
        <v>1.242</v>
      </c>
      <c r="F274" s="33">
        <v>4.0399999999999998E-2</v>
      </c>
      <c r="G274">
        <v>0.42799999999999999</v>
      </c>
      <c r="H274">
        <v>4.5199999999999996</v>
      </c>
      <c r="I274">
        <v>3.67</v>
      </c>
      <c r="J274">
        <v>-1.1100000000000001</v>
      </c>
      <c r="K274">
        <v>5.6</v>
      </c>
      <c r="L274">
        <v>3.9</v>
      </c>
      <c r="M274" s="33">
        <v>0.33810000000000001</v>
      </c>
      <c r="N274" s="33">
        <v>0.19589999999999999</v>
      </c>
      <c r="O274">
        <v>1.67</v>
      </c>
      <c r="P274" s="33">
        <v>0.1474</v>
      </c>
      <c r="Q274" s="33">
        <v>0.1784</v>
      </c>
      <c r="R274" s="34">
        <v>380.67</v>
      </c>
      <c r="S274" s="34">
        <v>7748660000</v>
      </c>
      <c r="T274">
        <v>1.07</v>
      </c>
      <c r="U274" s="33">
        <v>0.1729</v>
      </c>
    </row>
    <row r="275" spans="1:21" x14ac:dyDescent="0.25">
      <c r="A275" t="s">
        <v>428</v>
      </c>
      <c r="B275">
        <v>25.5</v>
      </c>
      <c r="C275">
        <v>6.23</v>
      </c>
      <c r="D275">
        <v>1.1100000000000001</v>
      </c>
      <c r="E275">
        <v>1.2210000000000001</v>
      </c>
      <c r="F275" s="33">
        <v>4.1099999999999998E-2</v>
      </c>
      <c r="G275">
        <v>0.42099999999999999</v>
      </c>
      <c r="H275">
        <v>4.4400000000000004</v>
      </c>
      <c r="I275">
        <v>3.61</v>
      </c>
      <c r="J275">
        <v>-1.0900000000000001</v>
      </c>
      <c r="K275">
        <v>5.54</v>
      </c>
      <c r="L275">
        <v>3.85</v>
      </c>
      <c r="M275" s="33">
        <v>0.33810000000000001</v>
      </c>
      <c r="N275" s="33">
        <v>0.19589999999999999</v>
      </c>
      <c r="O275">
        <v>1.67</v>
      </c>
      <c r="P275" s="33">
        <v>0.1474</v>
      </c>
      <c r="Q275" s="33">
        <v>0.1784</v>
      </c>
      <c r="R275" s="34">
        <v>122.5</v>
      </c>
      <c r="S275" s="34">
        <v>7748660000</v>
      </c>
      <c r="T275">
        <v>1.07</v>
      </c>
      <c r="U275" s="33">
        <v>0.1729</v>
      </c>
    </row>
    <row r="276" spans="1:21" x14ac:dyDescent="0.25">
      <c r="A276" t="s">
        <v>428</v>
      </c>
      <c r="B276">
        <v>25.5</v>
      </c>
      <c r="C276">
        <v>6.23</v>
      </c>
      <c r="D276">
        <v>1.1100000000000001</v>
      </c>
      <c r="E276">
        <v>1.2210000000000001</v>
      </c>
      <c r="F276" s="33">
        <v>4.1099999999999998E-2</v>
      </c>
      <c r="G276">
        <v>0.42099999999999999</v>
      </c>
      <c r="H276">
        <v>4.4400000000000004</v>
      </c>
      <c r="I276">
        <v>3.61</v>
      </c>
      <c r="J276">
        <v>-1.0900000000000001</v>
      </c>
      <c r="K276">
        <v>5.54</v>
      </c>
      <c r="L276">
        <v>3.85</v>
      </c>
      <c r="M276" s="33">
        <v>0.33810000000000001</v>
      </c>
      <c r="N276" s="33">
        <v>0.19589999999999999</v>
      </c>
      <c r="O276">
        <v>1.67</v>
      </c>
      <c r="P276" s="33">
        <v>0.1474</v>
      </c>
      <c r="Q276" s="33">
        <v>0.1784</v>
      </c>
      <c r="R276" s="34">
        <v>122.5</v>
      </c>
      <c r="S276" s="34">
        <v>7748660000</v>
      </c>
      <c r="T276">
        <v>1.07</v>
      </c>
      <c r="U276" s="33">
        <v>0.1729</v>
      </c>
    </row>
    <row r="277" spans="1:21" x14ac:dyDescent="0.25">
      <c r="A277" t="s">
        <v>235</v>
      </c>
      <c r="B277">
        <v>5.76</v>
      </c>
      <c r="C277">
        <v>-4.68</v>
      </c>
      <c r="D277">
        <v>0.54</v>
      </c>
      <c r="E277">
        <v>0.34499999999999997</v>
      </c>
      <c r="F277" s="33">
        <v>0</v>
      </c>
      <c r="G277">
        <v>0.113</v>
      </c>
      <c r="H277">
        <v>0.79</v>
      </c>
      <c r="I277">
        <v>3.21</v>
      </c>
      <c r="J277">
        <v>-0.37</v>
      </c>
      <c r="K277">
        <v>11.96</v>
      </c>
      <c r="L277">
        <v>10</v>
      </c>
      <c r="M277" s="33">
        <v>0.1075</v>
      </c>
      <c r="N277" s="33">
        <v>-7.2099999999999997E-2</v>
      </c>
      <c r="O277">
        <v>1.47</v>
      </c>
      <c r="P277" s="33">
        <v>3.6799999999999999E-2</v>
      </c>
      <c r="Q277" s="33">
        <v>-0.11550000000000001</v>
      </c>
      <c r="R277" s="34">
        <v>72003800</v>
      </c>
      <c r="S277" s="34">
        <v>5996120000</v>
      </c>
      <c r="T277">
        <v>1.56</v>
      </c>
      <c r="U277" s="33">
        <v>7.5300000000000006E-2</v>
      </c>
    </row>
    <row r="278" spans="1:21" x14ac:dyDescent="0.25">
      <c r="A278" t="s">
        <v>164</v>
      </c>
      <c r="B278">
        <v>3.99</v>
      </c>
      <c r="C278">
        <v>7.11</v>
      </c>
      <c r="D278">
        <v>0.42</v>
      </c>
      <c r="E278">
        <v>0.36</v>
      </c>
      <c r="F278" s="33">
        <v>0.1133</v>
      </c>
      <c r="G278">
        <v>0.19</v>
      </c>
      <c r="H278">
        <v>0.39</v>
      </c>
      <c r="I278">
        <v>4.41</v>
      </c>
      <c r="J278">
        <v>0.67</v>
      </c>
      <c r="K278">
        <v>9.3800000000000008</v>
      </c>
      <c r="L278">
        <v>7.31</v>
      </c>
      <c r="M278" s="33">
        <v>8.1600000000000006E-2</v>
      </c>
      <c r="N278" s="33">
        <v>7.0999999999999994E-2</v>
      </c>
      <c r="O278">
        <v>2.4500000000000002</v>
      </c>
      <c r="P278" s="33">
        <v>4.7300000000000002E-2</v>
      </c>
      <c r="Q278" s="33">
        <v>5.9499999999999997E-2</v>
      </c>
      <c r="R278" s="34">
        <v>2752490</v>
      </c>
      <c r="S278" s="34">
        <v>997155000</v>
      </c>
      <c r="T278">
        <v>0.63</v>
      </c>
      <c r="U278" s="33">
        <v>0.2676</v>
      </c>
    </row>
    <row r="279" spans="1:21" x14ac:dyDescent="0.25">
      <c r="A279" t="s">
        <v>26</v>
      </c>
      <c r="B279">
        <v>42.15</v>
      </c>
      <c r="C279">
        <v>10.08</v>
      </c>
      <c r="D279">
        <v>0.8</v>
      </c>
      <c r="E279">
        <v>0.71199999999999997</v>
      </c>
      <c r="F279" s="33">
        <v>4.9599999999999998E-2</v>
      </c>
      <c r="G279">
        <v>0.66800000000000004</v>
      </c>
      <c r="H279">
        <v>1.08</v>
      </c>
      <c r="I279">
        <v>9.6999999999999993</v>
      </c>
      <c r="J279">
        <v>1.1100000000000001</v>
      </c>
      <c r="K279">
        <v>5.73</v>
      </c>
      <c r="L279">
        <v>4.2300000000000004</v>
      </c>
      <c r="M279" s="33">
        <v>7.3400000000000007E-2</v>
      </c>
      <c r="N279" s="33">
        <v>7.0599999999999996E-2</v>
      </c>
      <c r="O279">
        <v>5.36</v>
      </c>
      <c r="P279" s="33">
        <v>0.1055</v>
      </c>
      <c r="Q279" s="33">
        <v>7.9100000000000004E-2</v>
      </c>
      <c r="R279" s="34">
        <v>102662</v>
      </c>
      <c r="S279" s="34">
        <v>464622000</v>
      </c>
      <c r="T279">
        <v>0.03</v>
      </c>
      <c r="U279" s="33">
        <v>2.6100000000000002E-2</v>
      </c>
    </row>
    <row r="280" spans="1:21" x14ac:dyDescent="0.25">
      <c r="A280" t="s">
        <v>158</v>
      </c>
      <c r="B280">
        <v>25.7</v>
      </c>
      <c r="C280">
        <v>10.08</v>
      </c>
      <c r="D280">
        <v>2.2999999999999998</v>
      </c>
      <c r="E280">
        <v>5.1779999999999999</v>
      </c>
      <c r="F280" s="33">
        <v>4.48E-2</v>
      </c>
      <c r="G280">
        <v>1.0449999999999999</v>
      </c>
      <c r="H280">
        <v>20.63</v>
      </c>
      <c r="I280">
        <v>7.19</v>
      </c>
      <c r="J280">
        <v>-2.81</v>
      </c>
      <c r="K280">
        <v>9.5</v>
      </c>
      <c r="L280">
        <v>8.82</v>
      </c>
      <c r="M280" s="33">
        <v>0.7198</v>
      </c>
      <c r="N280" s="33">
        <v>0.51359999999999995</v>
      </c>
      <c r="O280">
        <v>1.41</v>
      </c>
      <c r="P280" s="33">
        <v>0.1653</v>
      </c>
      <c r="Q280" s="33">
        <v>0.2276</v>
      </c>
      <c r="R280" s="34">
        <v>101809000</v>
      </c>
      <c r="S280" s="34">
        <v>5746470000</v>
      </c>
      <c r="T280">
        <v>0.95</v>
      </c>
      <c r="U280" s="33">
        <v>0.2457</v>
      </c>
    </row>
    <row r="281" spans="1:21" x14ac:dyDescent="0.25">
      <c r="A281" t="s">
        <v>517</v>
      </c>
      <c r="B281">
        <v>12.57</v>
      </c>
      <c r="C281">
        <v>0.99</v>
      </c>
      <c r="D281">
        <v>1.3</v>
      </c>
      <c r="E281">
        <v>9.6000000000000002E-2</v>
      </c>
      <c r="F281" s="33">
        <v>0</v>
      </c>
      <c r="G281">
        <v>8.5000000000000006E-2</v>
      </c>
      <c r="H281">
        <v>-0.86</v>
      </c>
      <c r="I281">
        <v>-0.75</v>
      </c>
      <c r="J281">
        <v>-0.15</v>
      </c>
      <c r="K281">
        <v>-3.08</v>
      </c>
      <c r="L281">
        <v>-3.69</v>
      </c>
      <c r="M281" s="33">
        <v>-0.12770000000000001</v>
      </c>
      <c r="N281" s="33">
        <v>9.69E-2</v>
      </c>
      <c r="O281">
        <v>0.79</v>
      </c>
      <c r="P281" s="33">
        <v>-0.128</v>
      </c>
      <c r="Q281" s="33">
        <v>1.3137000000000001</v>
      </c>
      <c r="R281" s="34">
        <v>29.93</v>
      </c>
      <c r="S281" s="34">
        <v>19835000</v>
      </c>
      <c r="T281">
        <v>4.4400000000000004</v>
      </c>
      <c r="U281" s="33">
        <v>0.113</v>
      </c>
    </row>
    <row r="282" spans="1:21" x14ac:dyDescent="0.25">
      <c r="A282" t="s">
        <v>429</v>
      </c>
      <c r="B282">
        <v>12.2</v>
      </c>
      <c r="C282">
        <v>0.96</v>
      </c>
      <c r="D282">
        <v>1.27</v>
      </c>
      <c r="E282">
        <v>9.2999999999999999E-2</v>
      </c>
      <c r="F282" s="33">
        <v>0</v>
      </c>
      <c r="G282">
        <v>8.2000000000000003E-2</v>
      </c>
      <c r="H282">
        <v>-0.84</v>
      </c>
      <c r="I282">
        <v>-0.73</v>
      </c>
      <c r="J282">
        <v>-0.15</v>
      </c>
      <c r="K282">
        <v>-3.05</v>
      </c>
      <c r="L282">
        <v>-3.66</v>
      </c>
      <c r="M282" s="33">
        <v>-0.12770000000000001</v>
      </c>
      <c r="N282" s="33">
        <v>9.69E-2</v>
      </c>
      <c r="O282">
        <v>0.79</v>
      </c>
      <c r="P282" s="33">
        <v>-0.128</v>
      </c>
      <c r="Q282" s="33">
        <v>1.3137000000000001</v>
      </c>
      <c r="R282" s="34">
        <v>8444.1200000000008</v>
      </c>
      <c r="S282" s="34">
        <v>19835000</v>
      </c>
      <c r="T282">
        <v>4.4400000000000004</v>
      </c>
      <c r="U282" s="33">
        <v>0.113</v>
      </c>
    </row>
    <row r="283" spans="1:21" x14ac:dyDescent="0.25">
      <c r="A283" t="s">
        <v>150</v>
      </c>
      <c r="B283">
        <v>13.1</v>
      </c>
      <c r="C283">
        <v>8.94</v>
      </c>
      <c r="D283">
        <v>0.47</v>
      </c>
      <c r="E283">
        <v>0.128</v>
      </c>
      <c r="F283" s="33">
        <v>5.4300000000000001E-2</v>
      </c>
      <c r="G283">
        <v>0.13100000000000001</v>
      </c>
      <c r="H283">
        <v>0.74</v>
      </c>
      <c r="I283">
        <v>1.95</v>
      </c>
      <c r="J283">
        <v>-0.6</v>
      </c>
      <c r="K283">
        <v>5.71</v>
      </c>
      <c r="L283">
        <v>3.79</v>
      </c>
      <c r="M283" s="33">
        <v>6.6000000000000003E-2</v>
      </c>
      <c r="N283" s="33">
        <v>2.1299999999999999E-2</v>
      </c>
      <c r="O283">
        <v>1.61</v>
      </c>
      <c r="P283" s="33">
        <v>9.4700000000000006E-2</v>
      </c>
      <c r="Q283" s="33">
        <v>5.2299999999999999E-2</v>
      </c>
      <c r="R283" s="34">
        <v>12349500</v>
      </c>
      <c r="S283" s="34">
        <v>4306800000</v>
      </c>
      <c r="T283">
        <v>1.35</v>
      </c>
      <c r="U283" s="33">
        <v>9.9299999999999999E-2</v>
      </c>
    </row>
    <row r="284" spans="1:21" x14ac:dyDescent="0.25">
      <c r="A284" t="s">
        <v>82</v>
      </c>
      <c r="B284">
        <v>24.45</v>
      </c>
      <c r="C284">
        <v>8.4600000000000009</v>
      </c>
      <c r="D284">
        <v>0.88</v>
      </c>
      <c r="E284">
        <v>0.59799999999999998</v>
      </c>
      <c r="F284" s="33">
        <v>3.1699999999999999E-2</v>
      </c>
      <c r="G284">
        <v>0.27</v>
      </c>
      <c r="H284">
        <v>11.28</v>
      </c>
      <c r="I284">
        <v>2.75</v>
      </c>
      <c r="J284">
        <v>-0.56999999999999995</v>
      </c>
      <c r="K284">
        <v>6.92</v>
      </c>
      <c r="L284">
        <v>5.45</v>
      </c>
      <c r="M284" s="33">
        <v>0.21709999999999999</v>
      </c>
      <c r="N284" s="33">
        <v>7.1300000000000002E-2</v>
      </c>
      <c r="O284">
        <v>1.1299999999999999</v>
      </c>
      <c r="P284" s="33">
        <v>0.108</v>
      </c>
      <c r="Q284" s="33">
        <v>0.1038</v>
      </c>
      <c r="R284" s="34">
        <v>24978600</v>
      </c>
      <c r="S284" s="34">
        <v>33807000000</v>
      </c>
      <c r="T284">
        <v>1.51</v>
      </c>
      <c r="U284" s="33">
        <v>7.6600000000000001E-2</v>
      </c>
    </row>
    <row r="285" spans="1:21" x14ac:dyDescent="0.25">
      <c r="A285" t="s">
        <v>430</v>
      </c>
      <c r="B285">
        <v>3.85</v>
      </c>
      <c r="C285">
        <v>0.1</v>
      </c>
      <c r="D285">
        <v>-0.2</v>
      </c>
      <c r="E285">
        <v>0.115</v>
      </c>
      <c r="F285" s="33">
        <v>0</v>
      </c>
      <c r="G285">
        <v>0.28299999999999997</v>
      </c>
      <c r="H285">
        <v>-0.55000000000000004</v>
      </c>
      <c r="I285">
        <v>-0.76</v>
      </c>
      <c r="J285">
        <v>-0.16</v>
      </c>
      <c r="K285">
        <v>-0.14000000000000001</v>
      </c>
      <c r="L285">
        <v>-14.98</v>
      </c>
      <c r="M285" s="33">
        <v>-0.15079999999999999</v>
      </c>
      <c r="N285" s="33">
        <v>1.1241000000000001</v>
      </c>
      <c r="O285">
        <v>0.53</v>
      </c>
      <c r="P285" s="33">
        <v>-0.52859999999999996</v>
      </c>
      <c r="Q285" s="33">
        <v>-1.9732000000000001</v>
      </c>
      <c r="R285" s="34">
        <v>2896.24</v>
      </c>
      <c r="S285" s="34">
        <v>-50521000</v>
      </c>
      <c r="T285">
        <v>-0.03</v>
      </c>
      <c r="U285" s="33">
        <v>-4.6100000000000002E-2</v>
      </c>
    </row>
    <row r="286" spans="1:21" x14ac:dyDescent="0.25">
      <c r="A286" t="s">
        <v>197</v>
      </c>
      <c r="B286">
        <v>26.56</v>
      </c>
      <c r="C286">
        <v>-7.79</v>
      </c>
      <c r="D286">
        <v>0.54</v>
      </c>
      <c r="E286">
        <v>0.88100000000000001</v>
      </c>
      <c r="F286" s="33">
        <v>0</v>
      </c>
      <c r="G286">
        <v>0.40600000000000003</v>
      </c>
      <c r="H286">
        <v>1.84</v>
      </c>
      <c r="I286">
        <v>-8.6199999999999992</v>
      </c>
      <c r="J286">
        <v>3.59</v>
      </c>
      <c r="K286">
        <v>-4.3499999999999996</v>
      </c>
      <c r="L286">
        <v>4.28</v>
      </c>
      <c r="M286" s="33">
        <v>-0.1023</v>
      </c>
      <c r="N286" s="33">
        <v>-0.11310000000000001</v>
      </c>
      <c r="O286">
        <v>2.54</v>
      </c>
      <c r="P286" s="33">
        <v>-6.5699999999999995E-2</v>
      </c>
      <c r="Q286" s="33">
        <v>-6.9599999999999995E-2</v>
      </c>
      <c r="R286" s="34">
        <v>510976</v>
      </c>
      <c r="S286" s="34">
        <v>447975000</v>
      </c>
      <c r="T286">
        <v>0.04</v>
      </c>
      <c r="U286" s="33">
        <v>5.1499999999999997E-2</v>
      </c>
    </row>
    <row r="287" spans="1:21" x14ac:dyDescent="0.25">
      <c r="A287" t="s">
        <v>431</v>
      </c>
      <c r="B287">
        <v>7.3</v>
      </c>
      <c r="C287">
        <v>1.17</v>
      </c>
      <c r="D287">
        <v>-0.39</v>
      </c>
      <c r="E287">
        <v>18.843</v>
      </c>
      <c r="F287" s="33">
        <v>0</v>
      </c>
      <c r="G287">
        <v>2.4969999999999999</v>
      </c>
      <c r="H287" s="34">
        <v>-0.39</v>
      </c>
      <c r="I287">
        <v>-57.82</v>
      </c>
      <c r="J287">
        <v>-0.34</v>
      </c>
      <c r="K287">
        <v>-103.19</v>
      </c>
      <c r="L287">
        <v>-103.19</v>
      </c>
      <c r="M287" s="33">
        <v>-0.32590000000000002</v>
      </c>
      <c r="N287" s="33">
        <v>16.138000000000002</v>
      </c>
      <c r="O287">
        <v>0.01</v>
      </c>
      <c r="P287" s="33">
        <v>-4.3499999999999997E-2</v>
      </c>
      <c r="Q287" s="33">
        <v>-0.33439999999999998</v>
      </c>
      <c r="R287" s="34">
        <v>2915.55</v>
      </c>
      <c r="S287" s="34">
        <v>-123781000</v>
      </c>
      <c r="T287">
        <v>-0.31</v>
      </c>
      <c r="U287" s="33">
        <v>0.12959999999999999</v>
      </c>
    </row>
    <row r="288" spans="1:21" x14ac:dyDescent="0.25">
      <c r="A288" t="s">
        <v>121</v>
      </c>
      <c r="B288">
        <v>10.24</v>
      </c>
      <c r="C288">
        <v>-1.75</v>
      </c>
      <c r="D288">
        <v>0.94</v>
      </c>
      <c r="E288">
        <v>0.57699999999999996</v>
      </c>
      <c r="F288" s="33">
        <v>0</v>
      </c>
      <c r="G288">
        <v>0.40500000000000003</v>
      </c>
      <c r="H288">
        <v>2.86</v>
      </c>
      <c r="I288">
        <v>5.61</v>
      </c>
      <c r="J288">
        <v>-2.4900000000000002</v>
      </c>
      <c r="K288">
        <v>6.76</v>
      </c>
      <c r="L288">
        <v>4.91</v>
      </c>
      <c r="M288" s="33">
        <v>0.10290000000000001</v>
      </c>
      <c r="N288" s="33">
        <v>-0.33029999999999998</v>
      </c>
      <c r="O288">
        <v>1.53</v>
      </c>
      <c r="P288" s="33">
        <v>9.9699999999999997E-2</v>
      </c>
      <c r="Q288" s="33">
        <v>-0.53959999999999997</v>
      </c>
      <c r="R288" s="34">
        <v>105388000</v>
      </c>
      <c r="S288" s="34">
        <v>15095900000</v>
      </c>
      <c r="T288">
        <v>0.44</v>
      </c>
      <c r="U288" s="33">
        <v>-0.12470000000000001</v>
      </c>
    </row>
    <row r="289" spans="1:21" x14ac:dyDescent="0.25">
      <c r="A289" t="s">
        <v>432</v>
      </c>
      <c r="B289">
        <v>3.46</v>
      </c>
      <c r="C289">
        <v>8.15</v>
      </c>
      <c r="D289">
        <v>1.07</v>
      </c>
      <c r="E289">
        <v>0.23499999999999999</v>
      </c>
      <c r="F289" s="33">
        <v>0</v>
      </c>
      <c r="G289">
        <v>0.41299999999999998</v>
      </c>
      <c r="H289">
        <v>1.3</v>
      </c>
      <c r="I289">
        <v>5.72</v>
      </c>
      <c r="J289">
        <v>4.37</v>
      </c>
      <c r="K289">
        <v>7.06</v>
      </c>
      <c r="L289">
        <v>6.39</v>
      </c>
      <c r="M289" s="33">
        <v>4.1000000000000002E-2</v>
      </c>
      <c r="N289" s="33">
        <v>2.8799999999999999E-2</v>
      </c>
      <c r="O289">
        <v>1.81</v>
      </c>
      <c r="P289" s="33">
        <v>9.1600000000000001E-2</v>
      </c>
      <c r="Q289" s="33">
        <v>0.13170000000000001</v>
      </c>
      <c r="R289" s="34">
        <v>21885.599999999999</v>
      </c>
      <c r="S289" s="34">
        <v>42690000</v>
      </c>
      <c r="T289">
        <v>0.31</v>
      </c>
      <c r="U289" s="33">
        <v>0.22720000000000001</v>
      </c>
    </row>
    <row r="290" spans="1:21" x14ac:dyDescent="0.25">
      <c r="A290" t="s">
        <v>169</v>
      </c>
      <c r="B290">
        <v>10.85</v>
      </c>
      <c r="C290">
        <v>10.53</v>
      </c>
      <c r="D290">
        <v>4.34</v>
      </c>
      <c r="E290">
        <v>2.5590000000000002</v>
      </c>
      <c r="F290" s="33">
        <v>8.4400000000000003E-2</v>
      </c>
      <c r="G290">
        <v>2.649</v>
      </c>
      <c r="H290">
        <v>-52.97</v>
      </c>
      <c r="I290">
        <v>8.19</v>
      </c>
      <c r="J290">
        <v>-23.48</v>
      </c>
      <c r="K290">
        <v>7.51</v>
      </c>
      <c r="L290">
        <v>7</v>
      </c>
      <c r="M290" s="33">
        <v>0.31230000000000002</v>
      </c>
      <c r="N290" s="33">
        <v>0.24279999999999999</v>
      </c>
      <c r="O290">
        <v>0.85</v>
      </c>
      <c r="P290" s="33">
        <v>0.42630000000000001</v>
      </c>
      <c r="Q290" s="33">
        <v>0.41210000000000002</v>
      </c>
      <c r="R290" s="34">
        <v>26487300</v>
      </c>
      <c r="S290" s="34">
        <v>1364460000</v>
      </c>
      <c r="T290">
        <v>0</v>
      </c>
      <c r="U290" s="33">
        <v>7.2499999999999995E-2</v>
      </c>
    </row>
    <row r="291" spans="1:21" x14ac:dyDescent="0.25">
      <c r="A291" t="s">
        <v>433</v>
      </c>
      <c r="B291">
        <v>25.45</v>
      </c>
      <c r="C291">
        <v>11.12</v>
      </c>
      <c r="D291">
        <v>2.16</v>
      </c>
      <c r="E291">
        <v>1.325</v>
      </c>
      <c r="F291" s="33">
        <v>0.1163</v>
      </c>
      <c r="G291">
        <v>1.083</v>
      </c>
      <c r="H291">
        <v>2.91</v>
      </c>
      <c r="I291">
        <v>7.98</v>
      </c>
      <c r="J291">
        <v>9.64</v>
      </c>
      <c r="K291">
        <v>9.14</v>
      </c>
      <c r="L291">
        <v>7.5</v>
      </c>
      <c r="M291" s="33">
        <v>0.1661</v>
      </c>
      <c r="N291" s="33">
        <v>0.1192</v>
      </c>
      <c r="O291">
        <v>2.56</v>
      </c>
      <c r="P291" s="33">
        <v>0.17610000000000001</v>
      </c>
      <c r="Q291" s="33">
        <v>0.19439999999999999</v>
      </c>
      <c r="R291" s="34">
        <v>100295</v>
      </c>
      <c r="S291" s="34">
        <v>635559000</v>
      </c>
      <c r="T291">
        <v>0.55000000000000004</v>
      </c>
      <c r="U291" s="33">
        <v>5.8299999999999998E-2</v>
      </c>
    </row>
    <row r="292" spans="1:21" x14ac:dyDescent="0.25">
      <c r="A292" t="s">
        <v>245</v>
      </c>
      <c r="B292">
        <v>0.71</v>
      </c>
      <c r="C292">
        <v>0.02</v>
      </c>
      <c r="D292">
        <v>-0.02</v>
      </c>
      <c r="E292">
        <v>0.14099999999999999</v>
      </c>
      <c r="F292" s="33">
        <v>0</v>
      </c>
      <c r="G292">
        <v>1.2E-2</v>
      </c>
      <c r="H292">
        <v>-0.1</v>
      </c>
      <c r="I292">
        <v>-0.08</v>
      </c>
      <c r="J292">
        <v>-0.01</v>
      </c>
      <c r="K292">
        <v>-3.6</v>
      </c>
      <c r="L292">
        <v>-4.88</v>
      </c>
      <c r="M292" s="33">
        <v>-1.6903999999999999</v>
      </c>
      <c r="N292" s="33">
        <v>8.4742999999999995</v>
      </c>
      <c r="O292">
        <v>0.7</v>
      </c>
      <c r="P292" s="33">
        <v>-0.18210000000000001</v>
      </c>
      <c r="Q292" s="33">
        <v>-0.9587</v>
      </c>
      <c r="R292" s="34">
        <v>4198050</v>
      </c>
      <c r="S292" s="34">
        <v>-14660000000</v>
      </c>
      <c r="T292">
        <v>-0.77</v>
      </c>
      <c r="U292" s="33">
        <v>-0.25540000000000002</v>
      </c>
    </row>
    <row r="293" spans="1:21" x14ac:dyDescent="0.25">
      <c r="A293" t="s">
        <v>219</v>
      </c>
      <c r="B293">
        <v>8.9</v>
      </c>
      <c r="C293">
        <v>0.21</v>
      </c>
      <c r="D293">
        <v>-0.2</v>
      </c>
      <c r="E293">
        <v>1.772</v>
      </c>
      <c r="F293" s="33">
        <v>0</v>
      </c>
      <c r="G293">
        <v>0.15</v>
      </c>
      <c r="H293">
        <v>-1.28</v>
      </c>
      <c r="I293">
        <v>-1.05</v>
      </c>
      <c r="J293">
        <v>-0.1</v>
      </c>
      <c r="K293">
        <v>-4.5599999999999996</v>
      </c>
      <c r="L293">
        <v>-6.18</v>
      </c>
      <c r="M293" s="33">
        <v>-1.6903999999999999</v>
      </c>
      <c r="N293" s="33">
        <v>8.4742999999999995</v>
      </c>
      <c r="O293">
        <v>0.7</v>
      </c>
      <c r="P293" s="33">
        <v>-0.18210000000000001</v>
      </c>
      <c r="Q293" s="33">
        <v>-0.9587</v>
      </c>
      <c r="R293" s="34">
        <v>454551</v>
      </c>
      <c r="S293" s="34">
        <v>-14660000000</v>
      </c>
      <c r="T293">
        <v>-0.77</v>
      </c>
      <c r="U293" s="33">
        <v>-0.25540000000000002</v>
      </c>
    </row>
    <row r="294" spans="1:21" x14ac:dyDescent="0.25">
      <c r="A294" t="s">
        <v>208</v>
      </c>
      <c r="B294">
        <v>4.5999999999999996</v>
      </c>
      <c r="C294">
        <v>-3.74</v>
      </c>
      <c r="D294">
        <v>1</v>
      </c>
      <c r="E294">
        <v>0.47899999999999998</v>
      </c>
      <c r="F294" s="33">
        <v>0</v>
      </c>
      <c r="G294">
        <v>0.27700000000000002</v>
      </c>
      <c r="H294">
        <v>1.6</v>
      </c>
      <c r="I294">
        <v>5.43</v>
      </c>
      <c r="J294">
        <v>-0.89</v>
      </c>
      <c r="K294">
        <v>12.36</v>
      </c>
      <c r="L294">
        <v>7.71</v>
      </c>
      <c r="M294" s="33">
        <v>8.8099999999999998E-2</v>
      </c>
      <c r="N294" s="33">
        <v>-0.13880000000000001</v>
      </c>
      <c r="O294">
        <v>1.81</v>
      </c>
      <c r="P294" s="33">
        <v>6.7299999999999999E-2</v>
      </c>
      <c r="Q294" s="33">
        <v>-0.26779999999999998</v>
      </c>
      <c r="R294" s="34">
        <v>8369610</v>
      </c>
      <c r="S294" s="34">
        <v>2995770000</v>
      </c>
      <c r="T294">
        <v>1.82</v>
      </c>
      <c r="U294" s="33">
        <v>0.28739999999999999</v>
      </c>
    </row>
    <row r="295" spans="1:21" x14ac:dyDescent="0.25">
      <c r="A295" t="s">
        <v>123</v>
      </c>
      <c r="B295">
        <v>6.3</v>
      </c>
      <c r="C295">
        <v>-54.58</v>
      </c>
      <c r="D295">
        <v>1.33</v>
      </c>
      <c r="E295">
        <v>0.745</v>
      </c>
      <c r="F295" s="33">
        <v>0</v>
      </c>
      <c r="G295">
        <v>0.432</v>
      </c>
      <c r="H295">
        <v>3.29</v>
      </c>
      <c r="I295">
        <v>5.48</v>
      </c>
      <c r="J295">
        <v>-1.24</v>
      </c>
      <c r="K295">
        <v>10.73</v>
      </c>
      <c r="L295">
        <v>4.92</v>
      </c>
      <c r="M295" s="33">
        <v>0.13600000000000001</v>
      </c>
      <c r="N295" s="33">
        <v>-1.37E-2</v>
      </c>
      <c r="O295">
        <v>1.67</v>
      </c>
      <c r="P295" s="33">
        <v>9.5699999999999993E-2</v>
      </c>
      <c r="Q295" s="33">
        <v>-2.4400000000000002E-2</v>
      </c>
      <c r="R295" s="34">
        <v>1828510</v>
      </c>
      <c r="S295" s="34">
        <v>944915000</v>
      </c>
      <c r="T295">
        <v>1.72</v>
      </c>
      <c r="U295" s="33">
        <v>0.28570000000000001</v>
      </c>
    </row>
    <row r="296" spans="1:21" x14ac:dyDescent="0.25">
      <c r="A296" t="s">
        <v>72</v>
      </c>
      <c r="B296">
        <v>51.72</v>
      </c>
      <c r="C296">
        <v>171.25</v>
      </c>
      <c r="D296">
        <v>6.44</v>
      </c>
      <c r="E296">
        <v>5.3170000000000002</v>
      </c>
      <c r="F296" s="33">
        <v>0</v>
      </c>
      <c r="G296">
        <v>1.468</v>
      </c>
      <c r="H296">
        <v>11.7</v>
      </c>
      <c r="I296">
        <v>20.03</v>
      </c>
      <c r="J296">
        <v>-3.04</v>
      </c>
      <c r="K296">
        <v>26.15</v>
      </c>
      <c r="L296">
        <v>15.5</v>
      </c>
      <c r="M296" s="33">
        <v>0.26540000000000002</v>
      </c>
      <c r="N296" s="33">
        <v>4.36E-2</v>
      </c>
      <c r="O296">
        <v>1.93</v>
      </c>
      <c r="P296" s="33">
        <v>8.6599999999999996E-2</v>
      </c>
      <c r="Q296" s="33">
        <v>3.7600000000000001E-2</v>
      </c>
      <c r="R296" s="34">
        <v>29885700</v>
      </c>
      <c r="S296" s="34">
        <v>771834000</v>
      </c>
      <c r="T296">
        <v>2.5</v>
      </c>
      <c r="U296" s="33">
        <v>0.26319999999999999</v>
      </c>
    </row>
    <row r="297" spans="1:21" x14ac:dyDescent="0.25">
      <c r="A297" t="s">
        <v>434</v>
      </c>
      <c r="B297">
        <v>2.82</v>
      </c>
      <c r="C297">
        <v>-0.01</v>
      </c>
      <c r="D297">
        <v>0</v>
      </c>
      <c r="E297">
        <v>0.128</v>
      </c>
      <c r="F297" s="33">
        <v>0</v>
      </c>
      <c r="G297">
        <v>6.0000000000000001E-3</v>
      </c>
      <c r="H297">
        <v>-0.01</v>
      </c>
      <c r="I297">
        <v>-0.12</v>
      </c>
      <c r="J297">
        <v>0</v>
      </c>
      <c r="K297">
        <v>-89.73</v>
      </c>
      <c r="L297">
        <v>-108.44</v>
      </c>
      <c r="M297" s="33">
        <v>-1.1141000000000001</v>
      </c>
      <c r="N297" s="33">
        <v>-23.5822</v>
      </c>
      <c r="O297">
        <v>0.01</v>
      </c>
      <c r="P297" s="33">
        <v>-5.57E-2</v>
      </c>
      <c r="Q297" s="33">
        <v>0.18410000000000001</v>
      </c>
      <c r="R297" s="34">
        <v>7260.86</v>
      </c>
      <c r="S297" s="34">
        <v>-8625440000</v>
      </c>
      <c r="T297">
        <v>-0.8</v>
      </c>
      <c r="U297" s="33">
        <v>0.48499999999999999</v>
      </c>
    </row>
    <row r="298" spans="1:21" x14ac:dyDescent="0.25">
      <c r="A298" t="s">
        <v>435</v>
      </c>
      <c r="B298">
        <v>36.020000000000003</v>
      </c>
      <c r="C298">
        <v>9.92</v>
      </c>
      <c r="D298">
        <v>1.1000000000000001</v>
      </c>
      <c r="E298">
        <v>0.39600000000000002</v>
      </c>
      <c r="F298" s="33">
        <v>0.19939999999999999</v>
      </c>
      <c r="G298">
        <v>0.53400000000000003</v>
      </c>
      <c r="H298">
        <v>1.33</v>
      </c>
      <c r="I298">
        <v>7.04</v>
      </c>
      <c r="J298">
        <v>2.38</v>
      </c>
      <c r="K298">
        <v>7.43</v>
      </c>
      <c r="L298">
        <v>6.61</v>
      </c>
      <c r="M298" s="33">
        <v>5.62E-2</v>
      </c>
      <c r="N298" s="33">
        <v>3.9899999999999998E-2</v>
      </c>
      <c r="O298">
        <v>2.2000000000000002</v>
      </c>
      <c r="P298" s="33">
        <v>0.13750000000000001</v>
      </c>
      <c r="Q298" s="33">
        <v>0.1105</v>
      </c>
      <c r="R298" s="34">
        <v>15695.3</v>
      </c>
      <c r="S298" s="34">
        <v>786260000</v>
      </c>
      <c r="T298">
        <v>0.59</v>
      </c>
      <c r="U298" s="33">
        <v>4.5999999999999999E-3</v>
      </c>
    </row>
    <row r="299" spans="1:21" x14ac:dyDescent="0.25">
      <c r="A299" t="s">
        <v>436</v>
      </c>
      <c r="B299">
        <v>35</v>
      </c>
      <c r="C299">
        <v>9.64</v>
      </c>
      <c r="D299">
        <v>1.07</v>
      </c>
      <c r="E299">
        <v>0.38400000000000001</v>
      </c>
      <c r="F299" s="33">
        <v>0.23630000000000001</v>
      </c>
      <c r="G299">
        <v>0.51900000000000002</v>
      </c>
      <c r="H299">
        <v>1.29</v>
      </c>
      <c r="I299">
        <v>6.84</v>
      </c>
      <c r="J299">
        <v>2.31</v>
      </c>
      <c r="K299">
        <v>7.23</v>
      </c>
      <c r="L299">
        <v>6.43</v>
      </c>
      <c r="M299" s="33">
        <v>5.62E-2</v>
      </c>
      <c r="N299" s="33">
        <v>3.9899999999999998E-2</v>
      </c>
      <c r="O299">
        <v>2.2000000000000002</v>
      </c>
      <c r="P299" s="33">
        <v>0.13750000000000001</v>
      </c>
      <c r="Q299" s="33">
        <v>0.1105</v>
      </c>
      <c r="R299" s="34">
        <v>4315.45</v>
      </c>
      <c r="S299" s="34">
        <v>786260000</v>
      </c>
      <c r="T299">
        <v>0.59</v>
      </c>
      <c r="U299" s="33">
        <v>4.5999999999999999E-3</v>
      </c>
    </row>
    <row r="300" spans="1:21" x14ac:dyDescent="0.25">
      <c r="A300" t="s">
        <v>225</v>
      </c>
      <c r="B300">
        <v>3.05</v>
      </c>
      <c r="C300">
        <v>-0.78</v>
      </c>
      <c r="D300">
        <v>0.54</v>
      </c>
      <c r="E300">
        <v>7.9000000000000001E-2</v>
      </c>
      <c r="F300" s="33">
        <v>0</v>
      </c>
      <c r="G300">
        <v>7.6999999999999999E-2</v>
      </c>
      <c r="H300">
        <v>-11.24</v>
      </c>
      <c r="I300">
        <v>0.98</v>
      </c>
      <c r="J300">
        <v>-0.14000000000000001</v>
      </c>
      <c r="K300">
        <v>2.5499999999999998</v>
      </c>
      <c r="L300">
        <v>1.45</v>
      </c>
      <c r="M300" s="33">
        <v>8.0299999999999996E-2</v>
      </c>
      <c r="N300" s="33">
        <v>-0.1008</v>
      </c>
      <c r="O300">
        <v>0.98</v>
      </c>
      <c r="P300" s="33">
        <v>0.10539999999999999</v>
      </c>
      <c r="Q300" s="33">
        <v>-0.69320000000000004</v>
      </c>
      <c r="R300" s="34">
        <v>51549600</v>
      </c>
      <c r="S300" s="34">
        <v>2764000000</v>
      </c>
      <c r="T300">
        <v>1.65</v>
      </c>
      <c r="U300" s="33">
        <v>-0.2298</v>
      </c>
    </row>
    <row r="301" spans="1:21" x14ac:dyDescent="0.25">
      <c r="A301" t="s">
        <v>193</v>
      </c>
      <c r="B301">
        <v>0.3</v>
      </c>
      <c r="C301">
        <v>-0.02</v>
      </c>
      <c r="D301">
        <v>0</v>
      </c>
      <c r="E301">
        <v>6.5000000000000002E-2</v>
      </c>
      <c r="F301" s="33">
        <v>0</v>
      </c>
      <c r="G301">
        <v>1.7000000000000001E-2</v>
      </c>
      <c r="H301">
        <v>-0.01</v>
      </c>
      <c r="I301">
        <v>-0.12</v>
      </c>
      <c r="J301">
        <v>0</v>
      </c>
      <c r="K301">
        <v>-2.61</v>
      </c>
      <c r="L301">
        <v>-2.63</v>
      </c>
      <c r="M301" s="33">
        <v>-0.53349999999999997</v>
      </c>
      <c r="N301" s="33">
        <v>-3.3603000000000001</v>
      </c>
      <c r="O301">
        <v>0.32</v>
      </c>
      <c r="P301" s="33">
        <v>-0.32540000000000002</v>
      </c>
      <c r="Q301" s="33">
        <v>0.13800000000000001</v>
      </c>
      <c r="R301" s="34">
        <v>729089</v>
      </c>
      <c r="S301" s="34">
        <v>-3363560000</v>
      </c>
      <c r="T301">
        <v>-0.06</v>
      </c>
      <c r="U301" s="33">
        <v>-0.22470000000000001</v>
      </c>
    </row>
    <row r="302" spans="1:21" x14ac:dyDescent="0.25">
      <c r="A302" t="s">
        <v>437</v>
      </c>
      <c r="B302">
        <v>1.17</v>
      </c>
      <c r="C302">
        <v>-6.97</v>
      </c>
      <c r="D302">
        <v>0.75</v>
      </c>
      <c r="E302">
        <v>0.29699999999999999</v>
      </c>
      <c r="F302" s="33">
        <v>0</v>
      </c>
      <c r="G302">
        <v>0.13500000000000001</v>
      </c>
      <c r="H302">
        <v>0.34</v>
      </c>
      <c r="I302">
        <v>10.06</v>
      </c>
      <c r="J302">
        <v>-0.92</v>
      </c>
      <c r="K302">
        <v>31.49</v>
      </c>
      <c r="L302">
        <v>8.7899999999999991</v>
      </c>
      <c r="M302" s="33">
        <v>2.9499999999999998E-2</v>
      </c>
      <c r="N302" s="33">
        <v>-4.2700000000000002E-2</v>
      </c>
      <c r="O302">
        <v>2.4</v>
      </c>
      <c r="P302" s="33">
        <v>1.83E-2</v>
      </c>
      <c r="Q302" s="33">
        <v>-0.10829999999999999</v>
      </c>
      <c r="R302" s="34">
        <v>63703.9</v>
      </c>
      <c r="S302" s="34">
        <v>123253000</v>
      </c>
      <c r="T302">
        <v>2.72</v>
      </c>
      <c r="U302" s="33">
        <v>-8.3299999999999999E-2</v>
      </c>
    </row>
    <row r="303" spans="1:21" x14ac:dyDescent="0.25">
      <c r="A303" t="s">
        <v>438</v>
      </c>
      <c r="B303">
        <v>40.9</v>
      </c>
      <c r="C303">
        <v>21.56</v>
      </c>
      <c r="D303">
        <v>0.86</v>
      </c>
      <c r="E303">
        <v>7.9450000000000003</v>
      </c>
      <c r="F303" s="33">
        <v>2.0299999999999999E-2</v>
      </c>
      <c r="G303">
        <v>0.59699999999999998</v>
      </c>
      <c r="H303">
        <v>3.48</v>
      </c>
      <c r="I303">
        <v>-43.16</v>
      </c>
      <c r="J303">
        <v>-6.22</v>
      </c>
      <c r="K303">
        <v>-40.26</v>
      </c>
      <c r="L303">
        <v>-227.67</v>
      </c>
      <c r="M303" s="33">
        <v>-0.18410000000000001</v>
      </c>
      <c r="N303" s="33">
        <v>0.36859999999999998</v>
      </c>
      <c r="O303">
        <v>5.51</v>
      </c>
      <c r="P303" s="33">
        <v>-1.67E-2</v>
      </c>
      <c r="Q303" s="33">
        <v>3.9899999999999998E-2</v>
      </c>
      <c r="R303" s="34">
        <v>17306.8</v>
      </c>
      <c r="S303" s="34">
        <v>898730000</v>
      </c>
      <c r="T303">
        <v>0.18</v>
      </c>
      <c r="U303" s="33">
        <v>5.8700000000000002E-2</v>
      </c>
    </row>
    <row r="304" spans="1:21" x14ac:dyDescent="0.25">
      <c r="A304" t="s">
        <v>439</v>
      </c>
      <c r="B304">
        <v>44</v>
      </c>
      <c r="C304">
        <v>23.19</v>
      </c>
      <c r="D304">
        <v>0.93</v>
      </c>
      <c r="E304">
        <v>8.548</v>
      </c>
      <c r="F304" s="33">
        <v>1.9699999999999999E-2</v>
      </c>
      <c r="G304">
        <v>0.64300000000000002</v>
      </c>
      <c r="H304">
        <v>3.75</v>
      </c>
      <c r="I304">
        <v>-46.43</v>
      </c>
      <c r="J304">
        <v>-6.69</v>
      </c>
      <c r="K304">
        <v>-43.53</v>
      </c>
      <c r="L304">
        <v>-246.17</v>
      </c>
      <c r="M304" s="33">
        <v>-0.18410000000000001</v>
      </c>
      <c r="N304" s="33">
        <v>0.36859999999999998</v>
      </c>
      <c r="O304">
        <v>5.51</v>
      </c>
      <c r="P304" s="33">
        <v>-1.67E-2</v>
      </c>
      <c r="Q304" s="33">
        <v>3.9899999999999998E-2</v>
      </c>
      <c r="R304" s="34">
        <v>1324.05</v>
      </c>
      <c r="S304" s="34">
        <v>898730000</v>
      </c>
      <c r="T304">
        <v>0.18</v>
      </c>
      <c r="U304" s="33">
        <v>5.8700000000000002E-2</v>
      </c>
    </row>
    <row r="305" spans="1:21" x14ac:dyDescent="0.25">
      <c r="A305" t="s">
        <v>94</v>
      </c>
      <c r="B305">
        <v>34.979999999999997</v>
      </c>
      <c r="C305">
        <v>9.3699999999999992</v>
      </c>
      <c r="D305">
        <v>1.1399999999999999</v>
      </c>
      <c r="E305">
        <v>0.90900000000000003</v>
      </c>
      <c r="F305" s="33">
        <v>0.16009999999999999</v>
      </c>
      <c r="G305">
        <v>0.39300000000000002</v>
      </c>
      <c r="H305">
        <v>-9.2100000000000009</v>
      </c>
      <c r="I305">
        <v>2.14</v>
      </c>
      <c r="J305">
        <v>-0.72</v>
      </c>
      <c r="K305">
        <v>3.7</v>
      </c>
      <c r="L305">
        <v>2.78</v>
      </c>
      <c r="M305" s="33">
        <v>0.42370000000000002</v>
      </c>
      <c r="N305" s="33">
        <v>9.7799999999999998E-2</v>
      </c>
      <c r="O305">
        <v>0.72</v>
      </c>
      <c r="P305" s="33">
        <v>0.1961</v>
      </c>
      <c r="Q305" s="33">
        <v>0.1216</v>
      </c>
      <c r="R305" s="34">
        <v>362942000</v>
      </c>
      <c r="S305" s="34">
        <v>395841000000</v>
      </c>
      <c r="T305">
        <v>0.94</v>
      </c>
      <c r="U305" s="33">
        <v>0.11509999999999999</v>
      </c>
    </row>
    <row r="306" spans="1:21" x14ac:dyDescent="0.25">
      <c r="A306" t="s">
        <v>15</v>
      </c>
      <c r="B306">
        <v>32.53</v>
      </c>
      <c r="C306">
        <v>8.7100000000000009</v>
      </c>
      <c r="D306">
        <v>1.06</v>
      </c>
      <c r="E306">
        <v>0.84499999999999997</v>
      </c>
      <c r="F306" s="33">
        <v>0.1721</v>
      </c>
      <c r="G306">
        <v>0.36499999999999999</v>
      </c>
      <c r="H306">
        <v>-8.56</v>
      </c>
      <c r="I306">
        <v>1.99</v>
      </c>
      <c r="J306">
        <v>-0.67</v>
      </c>
      <c r="K306">
        <v>3.55</v>
      </c>
      <c r="L306">
        <v>2.67</v>
      </c>
      <c r="M306" s="33">
        <v>0.42370000000000002</v>
      </c>
      <c r="N306" s="33">
        <v>9.7799999999999998E-2</v>
      </c>
      <c r="O306">
        <v>0.72</v>
      </c>
      <c r="P306" s="33">
        <v>0.1961</v>
      </c>
      <c r="Q306" s="33">
        <v>0.1216</v>
      </c>
      <c r="R306" s="34">
        <v>1338600000</v>
      </c>
      <c r="S306" s="34">
        <v>395841000000</v>
      </c>
      <c r="T306">
        <v>0.94</v>
      </c>
      <c r="U306" s="33">
        <v>0.11509999999999999</v>
      </c>
    </row>
    <row r="307" spans="1:21" x14ac:dyDescent="0.25">
      <c r="A307" t="s">
        <v>204</v>
      </c>
      <c r="B307">
        <v>4.16</v>
      </c>
      <c r="C307">
        <v>-47.27</v>
      </c>
      <c r="D307">
        <v>1.1599999999999999</v>
      </c>
      <c r="E307">
        <v>0.56899999999999995</v>
      </c>
      <c r="F307" s="33">
        <v>6.93E-2</v>
      </c>
      <c r="G307">
        <v>0.498</v>
      </c>
      <c r="H307">
        <v>3.46</v>
      </c>
      <c r="I307">
        <v>11.04</v>
      </c>
      <c r="J307">
        <v>-2.31</v>
      </c>
      <c r="K307">
        <v>11.58</v>
      </c>
      <c r="L307">
        <v>3.86</v>
      </c>
      <c r="M307" s="33">
        <v>5.1499999999999997E-2</v>
      </c>
      <c r="N307" s="33">
        <v>-1.2E-2</v>
      </c>
      <c r="O307">
        <v>1.68</v>
      </c>
      <c r="P307" s="33">
        <v>5.5800000000000002E-2</v>
      </c>
      <c r="Q307" s="33">
        <v>-2.4500000000000001E-2</v>
      </c>
      <c r="R307" s="34">
        <v>30120400</v>
      </c>
      <c r="S307" s="34">
        <v>1658800000</v>
      </c>
      <c r="T307">
        <v>0.27</v>
      </c>
      <c r="U307" s="33">
        <v>0.20250000000000001</v>
      </c>
    </row>
    <row r="308" spans="1:21" x14ac:dyDescent="0.25">
      <c r="A308" t="s">
        <v>80</v>
      </c>
      <c r="B308">
        <v>8.69</v>
      </c>
      <c r="C308">
        <v>8.64</v>
      </c>
      <c r="D308">
        <v>0.82</v>
      </c>
      <c r="E308">
        <v>0.10100000000000001</v>
      </c>
      <c r="F308" s="33">
        <v>6.6199999999999995E-2</v>
      </c>
      <c r="G308">
        <v>0.186</v>
      </c>
      <c r="H308">
        <v>1.17</v>
      </c>
      <c r="I308">
        <v>3.5</v>
      </c>
      <c r="J308">
        <v>-67.180000000000007</v>
      </c>
      <c r="K308">
        <v>5.71</v>
      </c>
      <c r="L308">
        <v>3.62</v>
      </c>
      <c r="M308" s="33">
        <v>2.9000000000000001E-2</v>
      </c>
      <c r="N308" s="33">
        <v>1.2500000000000001E-2</v>
      </c>
      <c r="O308">
        <v>1.28</v>
      </c>
      <c r="P308" s="33">
        <v>9.6100000000000005E-2</v>
      </c>
      <c r="Q308" s="33">
        <v>9.4700000000000006E-2</v>
      </c>
      <c r="R308" s="34">
        <v>1738020</v>
      </c>
      <c r="S308" s="34">
        <v>1315040000</v>
      </c>
      <c r="T308">
        <v>0.72</v>
      </c>
      <c r="U308" s="33">
        <v>0.17050000000000001</v>
      </c>
    </row>
    <row r="309" spans="1:21" x14ac:dyDescent="0.25">
      <c r="A309" t="s">
        <v>153</v>
      </c>
      <c r="B309">
        <v>3.34</v>
      </c>
      <c r="C309">
        <v>14.35</v>
      </c>
      <c r="D309">
        <v>0.76</v>
      </c>
      <c r="E309">
        <v>0.158</v>
      </c>
      <c r="F309" s="33">
        <v>6.9199999999999998E-2</v>
      </c>
      <c r="G309">
        <v>0.24</v>
      </c>
      <c r="H309" s="34">
        <v>1.63</v>
      </c>
      <c r="I309">
        <v>3.36</v>
      </c>
      <c r="J309">
        <v>-1.36</v>
      </c>
      <c r="K309">
        <v>5.45</v>
      </c>
      <c r="L309">
        <v>2.97</v>
      </c>
      <c r="M309" s="33">
        <v>4.7199999999999999E-2</v>
      </c>
      <c r="N309" s="33">
        <v>1.11E-2</v>
      </c>
      <c r="O309">
        <v>1.41</v>
      </c>
      <c r="P309" s="33">
        <v>9.5000000000000001E-2</v>
      </c>
      <c r="Q309" s="33">
        <v>5.3199999999999997E-2</v>
      </c>
      <c r="R309" s="34">
        <v>3070620</v>
      </c>
      <c r="S309" s="34">
        <v>2722920000</v>
      </c>
      <c r="T309">
        <v>0.52</v>
      </c>
      <c r="U309" s="33">
        <v>0.1807</v>
      </c>
    </row>
    <row r="310" spans="1:21" x14ac:dyDescent="0.25">
      <c r="A310" t="s">
        <v>440</v>
      </c>
      <c r="B310">
        <v>5.38</v>
      </c>
      <c r="C310">
        <v>4.53</v>
      </c>
      <c r="D310">
        <v>1.08</v>
      </c>
      <c r="E310">
        <v>0</v>
      </c>
      <c r="F310" s="33">
        <v>0</v>
      </c>
      <c r="G310">
        <v>0</v>
      </c>
      <c r="H310">
        <v>0</v>
      </c>
      <c r="I310">
        <v>0</v>
      </c>
      <c r="J310">
        <v>0</v>
      </c>
      <c r="K310">
        <v>0</v>
      </c>
      <c r="L310">
        <v>0</v>
      </c>
      <c r="M310" s="33">
        <v>0</v>
      </c>
      <c r="N310" s="33">
        <v>0</v>
      </c>
      <c r="O310">
        <v>0</v>
      </c>
      <c r="P310" s="33">
        <v>0</v>
      </c>
      <c r="Q310" s="33">
        <v>0.2392</v>
      </c>
      <c r="R310" s="34">
        <v>37741.4</v>
      </c>
      <c r="S310" s="34">
        <v>1123630000</v>
      </c>
      <c r="T310">
        <v>0</v>
      </c>
      <c r="U310" s="33">
        <v>0.49669999999999997</v>
      </c>
    </row>
    <row r="311" spans="1:21" x14ac:dyDescent="0.25">
      <c r="A311" t="s">
        <v>39</v>
      </c>
      <c r="B311">
        <v>5.68</v>
      </c>
      <c r="C311">
        <v>4.79</v>
      </c>
      <c r="D311">
        <v>1.1399999999999999</v>
      </c>
      <c r="E311">
        <v>0</v>
      </c>
      <c r="F311" s="33">
        <v>8.6999999999999994E-2</v>
      </c>
      <c r="G311">
        <v>0</v>
      </c>
      <c r="H311">
        <v>0</v>
      </c>
      <c r="I311">
        <v>0</v>
      </c>
      <c r="J311">
        <v>0</v>
      </c>
      <c r="K311">
        <v>0</v>
      </c>
      <c r="L311">
        <v>0</v>
      </c>
      <c r="M311" s="33">
        <v>0</v>
      </c>
      <c r="N311" s="33">
        <v>0</v>
      </c>
      <c r="O311">
        <v>0</v>
      </c>
      <c r="P311" s="33">
        <v>0</v>
      </c>
      <c r="Q311" s="33">
        <v>0.2392</v>
      </c>
      <c r="R311" s="34">
        <v>1682930</v>
      </c>
      <c r="S311" s="34">
        <v>1123630000</v>
      </c>
      <c r="T311">
        <v>0</v>
      </c>
      <c r="U311" s="33">
        <v>0.49669999999999997</v>
      </c>
    </row>
    <row r="312" spans="1:21" x14ac:dyDescent="0.25">
      <c r="A312" t="s">
        <v>441</v>
      </c>
      <c r="B312">
        <v>6.06</v>
      </c>
      <c r="C312">
        <v>-0.55000000000000004</v>
      </c>
      <c r="D312">
        <v>-0.13</v>
      </c>
      <c r="E312">
        <v>6.6000000000000003E-2</v>
      </c>
      <c r="F312" s="33">
        <v>0</v>
      </c>
      <c r="G312">
        <v>0.11799999999999999</v>
      </c>
      <c r="H312">
        <v>-0.24</v>
      </c>
      <c r="I312">
        <v>-7.09</v>
      </c>
      <c r="J312">
        <v>-7.0000000000000007E-2</v>
      </c>
      <c r="K312">
        <v>-34.43</v>
      </c>
      <c r="L312">
        <v>7.64</v>
      </c>
      <c r="M312" s="33">
        <v>-9.2999999999999992E-3</v>
      </c>
      <c r="N312" s="33">
        <v>-0.1202</v>
      </c>
      <c r="O312">
        <v>0.39</v>
      </c>
      <c r="P312" s="33">
        <v>-2.01E-2</v>
      </c>
      <c r="Q312" s="33">
        <v>0.2389</v>
      </c>
      <c r="R312" s="34">
        <v>1301.8599999999999</v>
      </c>
      <c r="S312" s="34">
        <v>-577159000</v>
      </c>
      <c r="T312">
        <v>-0.54</v>
      </c>
      <c r="U312" s="33">
        <v>0.27039999999999997</v>
      </c>
    </row>
    <row r="313" spans="1:21" x14ac:dyDescent="0.25">
      <c r="A313" t="s">
        <v>442</v>
      </c>
      <c r="B313">
        <v>15.3</v>
      </c>
      <c r="C313">
        <v>8.4499999999999993</v>
      </c>
      <c r="D313">
        <v>3.89</v>
      </c>
      <c r="E313">
        <v>1.157</v>
      </c>
      <c r="F313" s="33">
        <v>6.5799999999999997E-2</v>
      </c>
      <c r="G313">
        <v>1.2470000000000001</v>
      </c>
      <c r="H313">
        <v>2.16</v>
      </c>
      <c r="I313">
        <v>4.2699999999999996</v>
      </c>
      <c r="J313">
        <v>6.43</v>
      </c>
      <c r="K313">
        <v>4.46</v>
      </c>
      <c r="L313">
        <v>4.34</v>
      </c>
      <c r="M313" s="33">
        <v>0.27060000000000001</v>
      </c>
      <c r="N313" s="33">
        <v>0.15640000000000001</v>
      </c>
      <c r="O313">
        <v>3.12</v>
      </c>
      <c r="P313" s="33">
        <v>0.45750000000000002</v>
      </c>
      <c r="Q313" s="33">
        <v>0.4607</v>
      </c>
      <c r="R313" s="34">
        <v>15918100</v>
      </c>
      <c r="S313" s="34">
        <v>801581000</v>
      </c>
      <c r="T313">
        <v>0.75</v>
      </c>
      <c r="U313" s="33">
        <v>0.2828</v>
      </c>
    </row>
    <row r="314" spans="1:21" x14ac:dyDescent="0.25">
      <c r="A314" t="s">
        <v>260</v>
      </c>
      <c r="B314">
        <v>1.92</v>
      </c>
      <c r="C314">
        <v>-7.0000000000000007E-2</v>
      </c>
      <c r="D314">
        <v>-0.02</v>
      </c>
      <c r="E314">
        <v>0.28000000000000003</v>
      </c>
      <c r="F314" s="33">
        <v>0</v>
      </c>
      <c r="G314">
        <v>9.0999999999999998E-2</v>
      </c>
      <c r="H314">
        <v>-0.02</v>
      </c>
      <c r="I314">
        <v>-0.59</v>
      </c>
      <c r="J314">
        <v>-0.02</v>
      </c>
      <c r="K314">
        <v>-21.66</v>
      </c>
      <c r="L314">
        <v>-32.97</v>
      </c>
      <c r="M314" s="33">
        <v>-0.4743</v>
      </c>
      <c r="N314" s="33">
        <v>-3.7662</v>
      </c>
      <c r="O314">
        <v>0.06</v>
      </c>
      <c r="P314" s="33">
        <v>-0.28239999999999998</v>
      </c>
      <c r="Q314" s="33">
        <v>0.30370000000000003</v>
      </c>
      <c r="R314" s="34">
        <v>1410990</v>
      </c>
      <c r="S314" s="34">
        <v>-6411200000</v>
      </c>
      <c r="T314">
        <v>-0.81</v>
      </c>
      <c r="U314" s="33">
        <v>-0.47</v>
      </c>
    </row>
    <row r="315" spans="1:21" x14ac:dyDescent="0.25">
      <c r="A315" t="s">
        <v>145</v>
      </c>
      <c r="B315">
        <v>8.18</v>
      </c>
      <c r="C315">
        <v>12.63</v>
      </c>
      <c r="D315">
        <v>0.99</v>
      </c>
      <c r="E315">
        <v>0.247</v>
      </c>
      <c r="F315" s="33">
        <v>4.2099999999999999E-2</v>
      </c>
      <c r="G315">
        <v>0.38700000000000001</v>
      </c>
      <c r="H315">
        <v>1.45</v>
      </c>
      <c r="I315">
        <v>7.48</v>
      </c>
      <c r="J315">
        <v>-8.73</v>
      </c>
      <c r="K315">
        <v>13.66</v>
      </c>
      <c r="L315">
        <v>5.92</v>
      </c>
      <c r="M315" s="33">
        <v>3.3099999999999997E-2</v>
      </c>
      <c r="N315" s="33">
        <v>1.9599999999999999E-2</v>
      </c>
      <c r="O315">
        <v>1.9</v>
      </c>
      <c r="P315" s="33">
        <v>6.5500000000000003E-2</v>
      </c>
      <c r="Q315" s="33">
        <v>7.8200000000000006E-2</v>
      </c>
      <c r="R315" s="34">
        <v>3905490</v>
      </c>
      <c r="S315" s="34">
        <v>1245830000</v>
      </c>
      <c r="T315">
        <v>0.98</v>
      </c>
      <c r="U315" s="33">
        <v>0.1522</v>
      </c>
    </row>
    <row r="316" spans="1:21" x14ac:dyDescent="0.25">
      <c r="A316" t="s">
        <v>24</v>
      </c>
      <c r="B316">
        <v>6.2</v>
      </c>
      <c r="C316">
        <v>6.22</v>
      </c>
      <c r="D316">
        <v>1.78</v>
      </c>
      <c r="E316">
        <v>0.81799999999999995</v>
      </c>
      <c r="F316" s="33">
        <v>9.2700000000000005E-2</v>
      </c>
      <c r="G316">
        <v>0.78400000000000003</v>
      </c>
      <c r="H316">
        <v>3.26</v>
      </c>
      <c r="I316">
        <v>5.22</v>
      </c>
      <c r="J316">
        <v>25.81</v>
      </c>
      <c r="K316">
        <v>6.21</v>
      </c>
      <c r="L316">
        <v>5.53</v>
      </c>
      <c r="M316" s="33">
        <v>0.15670000000000001</v>
      </c>
      <c r="N316" s="33">
        <v>0.1333</v>
      </c>
      <c r="O316">
        <v>1.7</v>
      </c>
      <c r="P316" s="33">
        <v>0.2054</v>
      </c>
      <c r="Q316" s="33">
        <v>0.28589999999999999</v>
      </c>
      <c r="R316" s="34">
        <v>2197830</v>
      </c>
      <c r="S316" s="34">
        <v>3960140000</v>
      </c>
      <c r="T316">
        <v>0.78</v>
      </c>
      <c r="U316" s="33">
        <v>0.2727</v>
      </c>
    </row>
    <row r="317" spans="1:21" x14ac:dyDescent="0.25">
      <c r="A317" t="s">
        <v>96</v>
      </c>
      <c r="B317">
        <v>7.58</v>
      </c>
      <c r="C317">
        <v>7.61</v>
      </c>
      <c r="D317">
        <v>2.17</v>
      </c>
      <c r="E317">
        <v>1</v>
      </c>
      <c r="F317" s="33">
        <v>7.5899999999999995E-2</v>
      </c>
      <c r="G317">
        <v>0.95899999999999996</v>
      </c>
      <c r="H317">
        <v>3.99</v>
      </c>
      <c r="I317">
        <v>6.38</v>
      </c>
      <c r="J317">
        <v>31.56</v>
      </c>
      <c r="K317">
        <v>7.37</v>
      </c>
      <c r="L317">
        <v>6.57</v>
      </c>
      <c r="M317" s="33">
        <v>0.15670000000000001</v>
      </c>
      <c r="N317" s="33">
        <v>0.1333</v>
      </c>
      <c r="O317">
        <v>1.7</v>
      </c>
      <c r="P317" s="33">
        <v>0.2054</v>
      </c>
      <c r="Q317" s="33">
        <v>0.28589999999999999</v>
      </c>
      <c r="R317" s="34">
        <v>88262500</v>
      </c>
      <c r="S317" s="34">
        <v>3960140000</v>
      </c>
      <c r="T317">
        <v>0.78</v>
      </c>
      <c r="U317" s="33">
        <v>0.2727</v>
      </c>
    </row>
    <row r="318" spans="1:21" x14ac:dyDescent="0.25">
      <c r="A318" t="s">
        <v>38</v>
      </c>
      <c r="B318">
        <v>17.440000000000001</v>
      </c>
      <c r="C318">
        <v>13.45</v>
      </c>
      <c r="D318">
        <v>2.8</v>
      </c>
      <c r="E318">
        <v>2.52</v>
      </c>
      <c r="F318" s="33">
        <v>7.7799999999999994E-2</v>
      </c>
      <c r="G318">
        <v>1.1819999999999999</v>
      </c>
      <c r="H318">
        <v>57.12</v>
      </c>
      <c r="I318">
        <v>8.33</v>
      </c>
      <c r="J318">
        <v>-3.04</v>
      </c>
      <c r="K318">
        <v>10.63</v>
      </c>
      <c r="L318">
        <v>7.84</v>
      </c>
      <c r="M318" s="33">
        <v>0.30259999999999998</v>
      </c>
      <c r="N318" s="33">
        <v>0.18940000000000001</v>
      </c>
      <c r="O318">
        <v>1.1200000000000001</v>
      </c>
      <c r="P318" s="33">
        <v>0.16070000000000001</v>
      </c>
      <c r="Q318" s="33">
        <v>0.20810000000000001</v>
      </c>
      <c r="R318" s="34">
        <v>21302600</v>
      </c>
      <c r="S318" s="34">
        <v>2747140000</v>
      </c>
      <c r="T318">
        <v>0.99</v>
      </c>
      <c r="U318" s="33">
        <v>4.9299999999999997E-2</v>
      </c>
    </row>
    <row r="319" spans="1:21" x14ac:dyDescent="0.25">
      <c r="A319" t="s">
        <v>83</v>
      </c>
      <c r="B319">
        <v>4.46</v>
      </c>
      <c r="C319">
        <v>216.29</v>
      </c>
      <c r="D319">
        <v>0.39</v>
      </c>
      <c r="E319">
        <v>0.186</v>
      </c>
      <c r="F319" s="33">
        <v>6.1400000000000003E-2</v>
      </c>
      <c r="G319">
        <v>0.15</v>
      </c>
      <c r="H319">
        <v>0.45</v>
      </c>
      <c r="I319">
        <v>2.8</v>
      </c>
      <c r="J319">
        <v>3.78</v>
      </c>
      <c r="K319">
        <v>6.22</v>
      </c>
      <c r="L319">
        <v>4.8600000000000003</v>
      </c>
      <c r="M319" s="33">
        <v>6.6199999999999995E-2</v>
      </c>
      <c r="N319" s="33">
        <v>2.3999999999999998E-3</v>
      </c>
      <c r="O319">
        <v>2.0299999999999998</v>
      </c>
      <c r="P319" s="33">
        <v>6.9900000000000004E-2</v>
      </c>
      <c r="Q319" s="33">
        <v>1.8E-3</v>
      </c>
      <c r="R319" s="34">
        <v>6968790</v>
      </c>
      <c r="S319" s="34">
        <v>1607650000</v>
      </c>
      <c r="T319">
        <v>0.77</v>
      </c>
      <c r="U319" s="33">
        <v>7.8299999999999995E-2</v>
      </c>
    </row>
    <row r="320" spans="1:21" x14ac:dyDescent="0.25">
      <c r="A320" t="s">
        <v>168</v>
      </c>
      <c r="B320">
        <v>43.98</v>
      </c>
      <c r="C320">
        <v>3.48</v>
      </c>
      <c r="D320">
        <v>1.48</v>
      </c>
      <c r="E320">
        <v>2.5270000000000001</v>
      </c>
      <c r="F320" s="33">
        <v>0</v>
      </c>
      <c r="G320">
        <v>0.72</v>
      </c>
      <c r="H320">
        <v>6.92</v>
      </c>
      <c r="I320">
        <v>6.43</v>
      </c>
      <c r="J320">
        <v>-1.98</v>
      </c>
      <c r="K320">
        <v>9.36</v>
      </c>
      <c r="L320">
        <v>6.01</v>
      </c>
      <c r="M320" s="33">
        <v>0.39279999999999998</v>
      </c>
      <c r="N320" s="33">
        <v>0.72609999999999997</v>
      </c>
      <c r="O320">
        <v>3.19</v>
      </c>
      <c r="P320" s="33">
        <v>0.1234</v>
      </c>
      <c r="Q320" s="33">
        <v>0.42580000000000001</v>
      </c>
      <c r="R320" s="34">
        <v>429187000</v>
      </c>
      <c r="S320" s="34">
        <v>26603200000</v>
      </c>
      <c r="T320">
        <v>0.83</v>
      </c>
      <c r="U320" s="33">
        <v>0.59109999999999996</v>
      </c>
    </row>
    <row r="321" spans="1:21" x14ac:dyDescent="0.25">
      <c r="A321" t="s">
        <v>21</v>
      </c>
      <c r="B321">
        <v>15.11</v>
      </c>
      <c r="C321">
        <v>68</v>
      </c>
      <c r="D321">
        <v>2.0499999999999998</v>
      </c>
      <c r="E321">
        <v>0.56299999999999994</v>
      </c>
      <c r="F321" s="33">
        <v>3.3999999999999998E-3</v>
      </c>
      <c r="G321">
        <v>0.499</v>
      </c>
      <c r="H321">
        <v>1.81</v>
      </c>
      <c r="I321">
        <v>7.24</v>
      </c>
      <c r="J321">
        <v>-2.74</v>
      </c>
      <c r="K321">
        <v>10.44</v>
      </c>
      <c r="L321">
        <v>6.61</v>
      </c>
      <c r="M321" s="33">
        <v>7.7799999999999994E-2</v>
      </c>
      <c r="N321" s="33">
        <v>2.3099999999999999E-2</v>
      </c>
      <c r="O321">
        <v>1.96</v>
      </c>
      <c r="P321" s="33">
        <v>9.6100000000000005E-2</v>
      </c>
      <c r="Q321" s="33">
        <v>3.0200000000000001E-2</v>
      </c>
      <c r="R321" s="34">
        <v>3832070</v>
      </c>
      <c r="S321" s="34">
        <v>343979000</v>
      </c>
      <c r="T321">
        <v>1.95</v>
      </c>
      <c r="U321" s="33">
        <v>0.48799999999999999</v>
      </c>
    </row>
    <row r="322" spans="1:21" x14ac:dyDescent="0.25">
      <c r="A322" t="s">
        <v>16</v>
      </c>
      <c r="B322">
        <v>52.99</v>
      </c>
      <c r="C322">
        <v>12.12</v>
      </c>
      <c r="D322">
        <v>2.4700000000000002</v>
      </c>
      <c r="E322">
        <v>0.94399999999999995</v>
      </c>
      <c r="F322" s="33">
        <v>2.9899999999999999E-2</v>
      </c>
      <c r="G322">
        <v>0.69299999999999995</v>
      </c>
      <c r="H322">
        <v>10.97</v>
      </c>
      <c r="I322">
        <v>1.1499999999999999</v>
      </c>
      <c r="J322">
        <v>-4.2</v>
      </c>
      <c r="K322">
        <v>0.82</v>
      </c>
      <c r="L322">
        <v>0.81</v>
      </c>
      <c r="M322" s="33">
        <v>0.81850000000000001</v>
      </c>
      <c r="N322" s="33">
        <v>7.9200000000000007E-2</v>
      </c>
      <c r="O322">
        <v>1.1299999999999999</v>
      </c>
      <c r="P322" s="33">
        <v>0.75109999999999999</v>
      </c>
      <c r="Q322" s="33">
        <v>0.2039</v>
      </c>
      <c r="R322" s="34">
        <v>89573700</v>
      </c>
      <c r="S322" s="34">
        <v>13856800000</v>
      </c>
      <c r="T322">
        <v>0</v>
      </c>
      <c r="U322" s="33">
        <v>0.18590000000000001</v>
      </c>
    </row>
    <row r="323" spans="1:21" x14ac:dyDescent="0.25">
      <c r="A323" t="s">
        <v>221</v>
      </c>
      <c r="B323">
        <v>5.26</v>
      </c>
      <c r="C323">
        <v>-6.5</v>
      </c>
      <c r="D323">
        <v>2.35</v>
      </c>
      <c r="E323">
        <v>0.3</v>
      </c>
      <c r="F323" s="33">
        <v>0</v>
      </c>
      <c r="G323">
        <v>0.20499999999999999</v>
      </c>
      <c r="H323">
        <v>-3.72</v>
      </c>
      <c r="I323">
        <v>9.42</v>
      </c>
      <c r="J323">
        <v>-0.38</v>
      </c>
      <c r="K323">
        <v>22.24</v>
      </c>
      <c r="L323">
        <v>6.52</v>
      </c>
      <c r="M323" s="33">
        <v>3.1800000000000002E-2</v>
      </c>
      <c r="N323" s="33">
        <v>-4.6100000000000002E-2</v>
      </c>
      <c r="O323">
        <v>0.87</v>
      </c>
      <c r="P323" s="33">
        <v>3.15E-2</v>
      </c>
      <c r="Q323" s="33">
        <v>-0.36120000000000002</v>
      </c>
      <c r="R323" s="34">
        <v>1986020</v>
      </c>
      <c r="S323" s="34">
        <v>315773000</v>
      </c>
      <c r="T323">
        <v>4.5</v>
      </c>
      <c r="U323" s="33">
        <v>0.1201</v>
      </c>
    </row>
    <row r="324" spans="1:21" x14ac:dyDescent="0.25">
      <c r="A324" t="s">
        <v>443</v>
      </c>
      <c r="B324">
        <v>9.3800000000000008</v>
      </c>
      <c r="C324">
        <v>11.69</v>
      </c>
      <c r="D324">
        <v>1.02</v>
      </c>
      <c r="E324">
        <v>0.54800000000000004</v>
      </c>
      <c r="F324" s="33">
        <v>2.8899999999999999E-2</v>
      </c>
      <c r="G324">
        <v>0.42399999999999999</v>
      </c>
      <c r="H324">
        <v>1.24</v>
      </c>
      <c r="I324">
        <v>12.67</v>
      </c>
      <c r="J324">
        <v>7.32</v>
      </c>
      <c r="K324">
        <v>16.64</v>
      </c>
      <c r="L324">
        <v>8.2200000000000006</v>
      </c>
      <c r="M324" s="33">
        <v>4.3200000000000002E-2</v>
      </c>
      <c r="N324" s="33">
        <v>7.2099999999999997E-2</v>
      </c>
      <c r="O324">
        <v>2.56</v>
      </c>
      <c r="P324" s="33">
        <v>4.9299999999999997E-2</v>
      </c>
      <c r="Q324" s="33">
        <v>8.77E-2</v>
      </c>
      <c r="R324" s="34">
        <v>3971.6</v>
      </c>
      <c r="S324" s="34">
        <v>439823000</v>
      </c>
      <c r="T324">
        <v>0.88</v>
      </c>
      <c r="U324" s="33">
        <v>5.5800000000000002E-2</v>
      </c>
    </row>
    <row r="325" spans="1:21" x14ac:dyDescent="0.25">
      <c r="A325" t="s">
        <v>106</v>
      </c>
      <c r="B325">
        <v>4.88</v>
      </c>
      <c r="C325">
        <v>6.08</v>
      </c>
      <c r="D325">
        <v>0.53</v>
      </c>
      <c r="E325">
        <v>0.28499999999999998</v>
      </c>
      <c r="F325" s="33">
        <v>5.5500000000000001E-2</v>
      </c>
      <c r="G325">
        <v>0.221</v>
      </c>
      <c r="H325">
        <v>0.65</v>
      </c>
      <c r="I325">
        <v>6.59</v>
      </c>
      <c r="J325">
        <v>3.81</v>
      </c>
      <c r="K325">
        <v>10.57</v>
      </c>
      <c r="L325">
        <v>5.22</v>
      </c>
      <c r="M325" s="33">
        <v>4.3200000000000002E-2</v>
      </c>
      <c r="N325" s="33">
        <v>7.2099999999999997E-2</v>
      </c>
      <c r="O325">
        <v>2.56</v>
      </c>
      <c r="P325" s="33">
        <v>4.9299999999999997E-2</v>
      </c>
      <c r="Q325" s="33">
        <v>8.77E-2</v>
      </c>
      <c r="R325" s="34">
        <v>127005</v>
      </c>
      <c r="S325" s="34">
        <v>439823000</v>
      </c>
      <c r="T325">
        <v>0.88</v>
      </c>
      <c r="U325" s="33">
        <v>5.5800000000000002E-2</v>
      </c>
    </row>
    <row r="326" spans="1:21" x14ac:dyDescent="0.25">
      <c r="A326" t="s">
        <v>144</v>
      </c>
      <c r="B326">
        <v>1.91</v>
      </c>
      <c r="C326">
        <v>144.01</v>
      </c>
      <c r="D326">
        <v>0.42</v>
      </c>
      <c r="E326">
        <v>0.35</v>
      </c>
      <c r="F326" s="33">
        <v>0</v>
      </c>
      <c r="G326">
        <v>0.123</v>
      </c>
      <c r="H326">
        <v>3.93</v>
      </c>
      <c r="I326">
        <v>1.03</v>
      </c>
      <c r="J326">
        <v>-0.41</v>
      </c>
      <c r="K326">
        <v>2.69</v>
      </c>
      <c r="L326">
        <v>1.58</v>
      </c>
      <c r="M326" s="33">
        <v>0.33879999999999999</v>
      </c>
      <c r="N326" s="33">
        <v>8.0000000000000002E-3</v>
      </c>
      <c r="O326">
        <v>1.08</v>
      </c>
      <c r="P326" s="33">
        <v>0.1847</v>
      </c>
      <c r="Q326" s="33">
        <v>2.8999999999999998E-3</v>
      </c>
      <c r="R326" s="34">
        <v>4529080</v>
      </c>
      <c r="S326" s="34">
        <v>1297730000</v>
      </c>
      <c r="T326">
        <v>1.49</v>
      </c>
      <c r="U326" s="33">
        <v>-7.3200000000000001E-2</v>
      </c>
    </row>
    <row r="327" spans="1:21" x14ac:dyDescent="0.25">
      <c r="A327" t="s">
        <v>98</v>
      </c>
      <c r="B327">
        <v>13.88</v>
      </c>
      <c r="C327">
        <v>20.28</v>
      </c>
      <c r="D327">
        <v>3.68</v>
      </c>
      <c r="E327">
        <v>0.59899999999999998</v>
      </c>
      <c r="F327" s="33">
        <v>2.7E-2</v>
      </c>
      <c r="G327">
        <v>1.054</v>
      </c>
      <c r="H327">
        <v>7.09</v>
      </c>
      <c r="I327">
        <v>10.34</v>
      </c>
      <c r="J327">
        <v>-7.88</v>
      </c>
      <c r="K327">
        <v>11.51</v>
      </c>
      <c r="L327">
        <v>6.39</v>
      </c>
      <c r="M327" s="33">
        <v>5.79E-2</v>
      </c>
      <c r="N327" s="33">
        <v>2.9700000000000001E-2</v>
      </c>
      <c r="O327">
        <v>1.34</v>
      </c>
      <c r="P327" s="33">
        <v>0.1431</v>
      </c>
      <c r="Q327" s="33">
        <v>0.18129999999999999</v>
      </c>
      <c r="R327" s="34">
        <v>229623000</v>
      </c>
      <c r="S327" s="34">
        <v>6485910000</v>
      </c>
      <c r="T327">
        <v>0.49</v>
      </c>
      <c r="U327" s="33">
        <v>0.17849999999999999</v>
      </c>
    </row>
    <row r="328" spans="1:21" x14ac:dyDescent="0.25">
      <c r="A328" t="s">
        <v>54</v>
      </c>
      <c r="B328">
        <v>19.13</v>
      </c>
      <c r="C328">
        <v>-24.85</v>
      </c>
      <c r="D328">
        <v>2.4300000000000002</v>
      </c>
      <c r="E328">
        <v>2.5790000000000002</v>
      </c>
      <c r="F328" s="33">
        <v>0</v>
      </c>
      <c r="G328">
        <v>0.69</v>
      </c>
      <c r="H328">
        <v>6.97</v>
      </c>
      <c r="I328">
        <v>6.27</v>
      </c>
      <c r="J328">
        <v>-1.37</v>
      </c>
      <c r="K328">
        <v>8.59</v>
      </c>
      <c r="L328">
        <v>4.28</v>
      </c>
      <c r="M328" s="33">
        <v>0.41110000000000002</v>
      </c>
      <c r="N328" s="33">
        <v>-0.1028</v>
      </c>
      <c r="O328">
        <v>1.9</v>
      </c>
      <c r="P328" s="33">
        <v>0.13270000000000001</v>
      </c>
      <c r="Q328" s="33">
        <v>-9.7799999999999998E-2</v>
      </c>
      <c r="R328" s="34">
        <v>227505000</v>
      </c>
      <c r="S328" s="34">
        <v>14598900000</v>
      </c>
      <c r="T328">
        <v>1.44</v>
      </c>
      <c r="U328" s="33">
        <v>0.18099999999999999</v>
      </c>
    </row>
    <row r="329" spans="1:21" x14ac:dyDescent="0.25">
      <c r="A329" t="s">
        <v>231</v>
      </c>
      <c r="B329">
        <v>1.83</v>
      </c>
      <c r="C329">
        <v>-4.45</v>
      </c>
      <c r="D329">
        <v>1.08</v>
      </c>
      <c r="E329">
        <v>7.3999999999999996E-2</v>
      </c>
      <c r="F329" s="33">
        <v>5.4999999999999997E-3</v>
      </c>
      <c r="G329">
        <v>0.13400000000000001</v>
      </c>
      <c r="H329">
        <v>1.25</v>
      </c>
      <c r="I329">
        <v>7.75</v>
      </c>
      <c r="J329">
        <v>-0.31</v>
      </c>
      <c r="K329">
        <v>26.85</v>
      </c>
      <c r="L329">
        <v>5.56</v>
      </c>
      <c r="M329" s="33">
        <v>9.5999999999999992E-3</v>
      </c>
      <c r="N329" s="33">
        <v>-1.6400000000000001E-2</v>
      </c>
      <c r="O329">
        <v>1.33</v>
      </c>
      <c r="P329" s="33">
        <v>2.5100000000000001E-2</v>
      </c>
      <c r="Q329" s="33">
        <v>-0.24199999999999999</v>
      </c>
      <c r="R329" s="34">
        <v>31314000</v>
      </c>
      <c r="S329" s="34">
        <v>17588500000</v>
      </c>
      <c r="T329">
        <v>3.89</v>
      </c>
      <c r="U329" s="33">
        <v>0.25109999999999999</v>
      </c>
    </row>
    <row r="330" spans="1:21" x14ac:dyDescent="0.25">
      <c r="A330" t="s">
        <v>203</v>
      </c>
      <c r="B330">
        <v>7.56</v>
      </c>
      <c r="C330">
        <v>5.62</v>
      </c>
      <c r="D330">
        <v>1.28</v>
      </c>
      <c r="E330">
        <v>1.0880000000000001</v>
      </c>
      <c r="F330" s="33">
        <v>8.7599999999999997E-2</v>
      </c>
      <c r="G330">
        <v>0.49199999999999999</v>
      </c>
      <c r="H330">
        <v>1.94</v>
      </c>
      <c r="I330">
        <v>4.7699999999999996</v>
      </c>
      <c r="J330">
        <v>-1.89</v>
      </c>
      <c r="K330">
        <v>7.66</v>
      </c>
      <c r="L330">
        <v>4.99</v>
      </c>
      <c r="M330" s="33">
        <v>0.22800000000000001</v>
      </c>
      <c r="N330" s="33">
        <v>0.19350000000000001</v>
      </c>
      <c r="O330">
        <v>3.51</v>
      </c>
      <c r="P330" s="33">
        <v>0.13189999999999999</v>
      </c>
      <c r="Q330" s="33">
        <v>0.22839999999999999</v>
      </c>
      <c r="R330" s="34">
        <v>4882070</v>
      </c>
      <c r="S330" s="34">
        <v>1412250000</v>
      </c>
      <c r="T330">
        <v>1.25</v>
      </c>
      <c r="U330" s="33">
        <v>7.1400000000000005E-2</v>
      </c>
    </row>
    <row r="331" spans="1:21" x14ac:dyDescent="0.25">
      <c r="A331" t="s">
        <v>131</v>
      </c>
      <c r="B331">
        <v>8.0299999999999994</v>
      </c>
      <c r="C331">
        <v>8.2899999999999991</v>
      </c>
      <c r="D331">
        <v>0.85</v>
      </c>
      <c r="E331">
        <v>0.21</v>
      </c>
      <c r="F331" s="33">
        <v>5.11E-2</v>
      </c>
      <c r="G331">
        <v>0.14599999999999999</v>
      </c>
      <c r="H331">
        <v>0.52</v>
      </c>
      <c r="I331">
        <v>1.85</v>
      </c>
      <c r="J331">
        <v>-0.68</v>
      </c>
      <c r="K331">
        <v>6.62</v>
      </c>
      <c r="L331">
        <v>5.24</v>
      </c>
      <c r="M331" s="33">
        <v>0.1138</v>
      </c>
      <c r="N331" s="33">
        <v>4.6100000000000002E-2</v>
      </c>
      <c r="O331">
        <v>2.06</v>
      </c>
      <c r="P331" s="33">
        <v>9.9099999999999994E-2</v>
      </c>
      <c r="Q331" s="33">
        <v>0.1027</v>
      </c>
      <c r="R331" s="34">
        <v>380908</v>
      </c>
      <c r="S331" s="34">
        <v>3105150000</v>
      </c>
      <c r="T331">
        <v>2.93</v>
      </c>
      <c r="U331" s="33">
        <v>0.16830000000000001</v>
      </c>
    </row>
    <row r="332" spans="1:21" x14ac:dyDescent="0.25">
      <c r="A332" t="s">
        <v>130</v>
      </c>
      <c r="B332">
        <v>8.65</v>
      </c>
      <c r="C332">
        <v>8.93</v>
      </c>
      <c r="D332">
        <v>0.92</v>
      </c>
      <c r="E332">
        <v>0.22700000000000001</v>
      </c>
      <c r="F332" s="33">
        <v>4.7399999999999998E-2</v>
      </c>
      <c r="G332">
        <v>0.157</v>
      </c>
      <c r="H332">
        <v>0.56000000000000005</v>
      </c>
      <c r="I332">
        <v>1.99</v>
      </c>
      <c r="J332">
        <v>-0.73</v>
      </c>
      <c r="K332">
        <v>6.76</v>
      </c>
      <c r="L332">
        <v>5.35</v>
      </c>
      <c r="M332" s="33">
        <v>0.1138</v>
      </c>
      <c r="N332" s="33">
        <v>4.6100000000000002E-2</v>
      </c>
      <c r="O332">
        <v>2.06</v>
      </c>
      <c r="P332" s="33">
        <v>9.9099999999999994E-2</v>
      </c>
      <c r="Q332" s="33">
        <v>0.1027</v>
      </c>
      <c r="R332" s="34">
        <v>32447100</v>
      </c>
      <c r="S332" s="34">
        <v>3105150000</v>
      </c>
      <c r="T332">
        <v>2.93</v>
      </c>
      <c r="U332" s="33">
        <v>0.16830000000000001</v>
      </c>
    </row>
    <row r="333" spans="1:21" x14ac:dyDescent="0.25">
      <c r="A333" t="s">
        <v>263</v>
      </c>
      <c r="B333">
        <v>2.5</v>
      </c>
      <c r="C333">
        <v>-4.1900000000000004</v>
      </c>
      <c r="D333">
        <v>-4.0999999999999996</v>
      </c>
      <c r="E333">
        <v>7.2960000000000003</v>
      </c>
      <c r="F333" s="33">
        <v>0</v>
      </c>
      <c r="G333">
        <v>1.7050000000000001</v>
      </c>
      <c r="H333">
        <v>-11.01</v>
      </c>
      <c r="I333">
        <v>-17.16</v>
      </c>
      <c r="J333">
        <v>-1.57</v>
      </c>
      <c r="K333">
        <v>-17.16</v>
      </c>
      <c r="L333">
        <v>-33.340000000000003</v>
      </c>
      <c r="M333" s="33">
        <v>-0.42530000000000001</v>
      </c>
      <c r="N333" s="33">
        <v>-1.8663000000000001</v>
      </c>
      <c r="O333">
        <v>0.68</v>
      </c>
      <c r="P333" s="33">
        <v>-0.1026</v>
      </c>
      <c r="Q333" s="33">
        <v>0.98080000000000001</v>
      </c>
      <c r="R333" s="34">
        <v>1338800</v>
      </c>
      <c r="S333" s="34">
        <v>-19381000</v>
      </c>
      <c r="T333">
        <v>0</v>
      </c>
      <c r="U333" s="33">
        <v>-0.2402</v>
      </c>
    </row>
    <row r="334" spans="1:21" x14ac:dyDescent="0.25">
      <c r="A334" t="s">
        <v>172</v>
      </c>
      <c r="B334">
        <v>0.98</v>
      </c>
      <c r="C334">
        <v>-1.64</v>
      </c>
      <c r="D334">
        <v>-1.61</v>
      </c>
      <c r="E334">
        <v>2.86</v>
      </c>
      <c r="F334" s="33">
        <v>0</v>
      </c>
      <c r="G334">
        <v>0.66800000000000004</v>
      </c>
      <c r="H334">
        <v>-4.3099999999999996</v>
      </c>
      <c r="I334">
        <v>-6.73</v>
      </c>
      <c r="J334">
        <v>-0.62</v>
      </c>
      <c r="K334">
        <v>-6.72</v>
      </c>
      <c r="L334">
        <v>-13.07</v>
      </c>
      <c r="M334" s="33">
        <v>-0.42530000000000001</v>
      </c>
      <c r="N334" s="33">
        <v>-1.8663000000000001</v>
      </c>
      <c r="O334">
        <v>0.68</v>
      </c>
      <c r="P334" s="33">
        <v>-0.1026</v>
      </c>
      <c r="Q334" s="33">
        <v>0.98080000000000001</v>
      </c>
      <c r="R334" s="34">
        <v>4380220</v>
      </c>
      <c r="S334" s="34">
        <v>-19381000</v>
      </c>
      <c r="T334">
        <v>0</v>
      </c>
      <c r="U334" s="33">
        <v>-0.2402</v>
      </c>
    </row>
    <row r="335" spans="1:21" x14ac:dyDescent="0.25">
      <c r="A335" t="s">
        <v>224</v>
      </c>
      <c r="B335">
        <v>2.52</v>
      </c>
      <c r="C335">
        <v>-0.8</v>
      </c>
      <c r="D335">
        <v>0.5</v>
      </c>
      <c r="E335">
        <v>0.22700000000000001</v>
      </c>
      <c r="F335" s="33">
        <v>0</v>
      </c>
      <c r="G335">
        <v>8.3000000000000004E-2</v>
      </c>
      <c r="H335">
        <v>0.38</v>
      </c>
      <c r="I335">
        <v>-2.0299999999999998</v>
      </c>
      <c r="J335">
        <v>-0.25</v>
      </c>
      <c r="K335">
        <v>-11.9</v>
      </c>
      <c r="L335">
        <v>-13.53</v>
      </c>
      <c r="M335" s="33">
        <v>-0.1118</v>
      </c>
      <c r="N335" s="33">
        <v>-0.2767</v>
      </c>
      <c r="O335">
        <v>1.79</v>
      </c>
      <c r="P335" s="33">
        <v>-4.2700000000000002E-2</v>
      </c>
      <c r="Q335" s="33">
        <v>-0.62760000000000005</v>
      </c>
      <c r="R335" s="34">
        <v>23857</v>
      </c>
      <c r="S335" s="34">
        <v>220547000</v>
      </c>
      <c r="T335">
        <v>2.5499999999999998</v>
      </c>
      <c r="U335" s="33">
        <v>4.4600000000000001E-2</v>
      </c>
    </row>
    <row r="336" spans="1:21" x14ac:dyDescent="0.25">
      <c r="A336" t="s">
        <v>176</v>
      </c>
      <c r="B336">
        <v>35.1</v>
      </c>
      <c r="C336">
        <v>19.68</v>
      </c>
      <c r="D336">
        <v>3.21</v>
      </c>
      <c r="E336">
        <v>1.5649999999999999</v>
      </c>
      <c r="F336" s="33">
        <v>1.9800000000000002E-2</v>
      </c>
      <c r="G336">
        <v>0.77</v>
      </c>
      <c r="H336">
        <v>2.34</v>
      </c>
      <c r="I336">
        <v>10.199999999999999</v>
      </c>
      <c r="J336">
        <v>-3.35</v>
      </c>
      <c r="K336">
        <v>9.93</v>
      </c>
      <c r="L336">
        <v>8.18</v>
      </c>
      <c r="M336" s="33">
        <v>0.15340000000000001</v>
      </c>
      <c r="N336" s="33">
        <v>8.1100000000000005E-2</v>
      </c>
      <c r="O336">
        <v>2.87</v>
      </c>
      <c r="P336" s="33">
        <v>0.12540000000000001</v>
      </c>
      <c r="Q336" s="33">
        <v>0.1633</v>
      </c>
      <c r="R336" s="34">
        <v>188913000</v>
      </c>
      <c r="S336" s="34">
        <v>25003000000</v>
      </c>
      <c r="T336">
        <v>1.51</v>
      </c>
      <c r="U336" s="33">
        <v>0.37930000000000003</v>
      </c>
    </row>
    <row r="337" spans="1:21" x14ac:dyDescent="0.25">
      <c r="A337" t="s">
        <v>444</v>
      </c>
      <c r="B337">
        <v>4</v>
      </c>
      <c r="C337">
        <v>42.38</v>
      </c>
      <c r="D337">
        <v>1.92</v>
      </c>
      <c r="E337">
        <v>9.2639999999999993</v>
      </c>
      <c r="F337" s="33">
        <v>0</v>
      </c>
      <c r="G337">
        <v>1.802</v>
      </c>
      <c r="H337">
        <v>1.97</v>
      </c>
      <c r="I337">
        <v>-29.66</v>
      </c>
      <c r="J337">
        <v>1.97</v>
      </c>
      <c r="K337">
        <v>-14.24</v>
      </c>
      <c r="L337">
        <v>-19.5</v>
      </c>
      <c r="M337" s="33">
        <v>-0.31230000000000002</v>
      </c>
      <c r="N337" s="33">
        <v>0.21859999999999999</v>
      </c>
      <c r="O337">
        <v>16.47</v>
      </c>
      <c r="P337" s="33">
        <v>-1.5592999999999999</v>
      </c>
      <c r="Q337" s="33">
        <v>4.53E-2</v>
      </c>
      <c r="R337" s="34">
        <v>36169.699999999997</v>
      </c>
      <c r="S337" s="34">
        <v>293687000</v>
      </c>
      <c r="T337">
        <v>0</v>
      </c>
      <c r="U337" s="33">
        <v>1.7399999999999999E-2</v>
      </c>
    </row>
    <row r="338" spans="1:21" x14ac:dyDescent="0.25">
      <c r="A338" t="s">
        <v>170</v>
      </c>
      <c r="B338">
        <v>15.56</v>
      </c>
      <c r="C338">
        <v>8.23</v>
      </c>
      <c r="D338">
        <v>1.02</v>
      </c>
      <c r="E338">
        <v>1.351</v>
      </c>
      <c r="F338" s="33">
        <v>0.1409</v>
      </c>
      <c r="G338">
        <v>0.61299999999999999</v>
      </c>
      <c r="H338">
        <v>4.87</v>
      </c>
      <c r="I338">
        <v>4.4800000000000004</v>
      </c>
      <c r="J338">
        <v>-3.22</v>
      </c>
      <c r="K338">
        <v>5.3</v>
      </c>
      <c r="L338">
        <v>3.13</v>
      </c>
      <c r="M338" s="33">
        <v>0.30180000000000001</v>
      </c>
      <c r="N338" s="33">
        <v>0.16420000000000001</v>
      </c>
      <c r="O338">
        <v>2.4700000000000002</v>
      </c>
      <c r="P338" s="33">
        <v>0.1681</v>
      </c>
      <c r="Q338" s="33">
        <v>0.12429999999999999</v>
      </c>
      <c r="R338" s="34">
        <v>50099500</v>
      </c>
      <c r="S338" s="34">
        <v>4463790000</v>
      </c>
      <c r="T338">
        <v>0.42</v>
      </c>
      <c r="U338" s="33">
        <v>0.26989999999999997</v>
      </c>
    </row>
    <row r="339" spans="1:21" x14ac:dyDescent="0.25">
      <c r="A339" t="s">
        <v>69</v>
      </c>
      <c r="B339">
        <v>6.82</v>
      </c>
      <c r="C339">
        <v>10.84</v>
      </c>
      <c r="D339">
        <v>3.46</v>
      </c>
      <c r="E339">
        <v>0.79600000000000004</v>
      </c>
      <c r="F339" s="33">
        <v>8.8900000000000007E-2</v>
      </c>
      <c r="G339">
        <v>0.47799999999999998</v>
      </c>
      <c r="H339">
        <v>6.54</v>
      </c>
      <c r="I339">
        <v>4.17</v>
      </c>
      <c r="J339">
        <v>-0.9</v>
      </c>
      <c r="K339">
        <v>7.98</v>
      </c>
      <c r="L339">
        <v>6.31</v>
      </c>
      <c r="M339" s="33">
        <v>0.1908</v>
      </c>
      <c r="N339" s="33">
        <v>0.10059999999999999</v>
      </c>
      <c r="O339">
        <v>1.38</v>
      </c>
      <c r="P339" s="33">
        <v>0.13450000000000001</v>
      </c>
      <c r="Q339" s="33">
        <v>0.31929999999999997</v>
      </c>
      <c r="R339" s="34">
        <v>9183.86</v>
      </c>
      <c r="S339" s="34">
        <v>4157530000</v>
      </c>
      <c r="T339">
        <v>3.88</v>
      </c>
      <c r="U339" s="33">
        <v>9.06E-2</v>
      </c>
    </row>
    <row r="340" spans="1:21" x14ac:dyDescent="0.25">
      <c r="A340" t="s">
        <v>129</v>
      </c>
      <c r="B340">
        <v>44.02</v>
      </c>
      <c r="C340">
        <v>24.78</v>
      </c>
      <c r="D340">
        <v>1.8</v>
      </c>
      <c r="E340">
        <v>1.2310000000000001</v>
      </c>
      <c r="F340" s="33">
        <v>3.7499999999999999E-2</v>
      </c>
      <c r="G340">
        <v>0.58899999999999997</v>
      </c>
      <c r="H340">
        <v>9.0399999999999991</v>
      </c>
      <c r="I340">
        <v>7.92</v>
      </c>
      <c r="J340">
        <v>-1.29</v>
      </c>
      <c r="K340">
        <v>13.67</v>
      </c>
      <c r="L340">
        <v>6.68</v>
      </c>
      <c r="M340" s="33">
        <v>0.15540000000000001</v>
      </c>
      <c r="N340" s="33">
        <v>4.9599999999999998E-2</v>
      </c>
      <c r="O340">
        <v>1.43</v>
      </c>
      <c r="P340" s="33">
        <v>8.9300000000000004E-2</v>
      </c>
      <c r="Q340" s="33">
        <v>7.2800000000000004E-2</v>
      </c>
      <c r="R340" s="34">
        <v>407887000</v>
      </c>
      <c r="S340" s="34">
        <v>26432600000</v>
      </c>
      <c r="T340">
        <v>1.62</v>
      </c>
      <c r="U340" s="33">
        <v>0.4466</v>
      </c>
    </row>
    <row r="341" spans="1:21" x14ac:dyDescent="0.25">
      <c r="A341" t="s">
        <v>445</v>
      </c>
      <c r="B341">
        <v>3.58</v>
      </c>
      <c r="C341">
        <v>-3.94</v>
      </c>
      <c r="D341">
        <v>0.59</v>
      </c>
      <c r="E341">
        <v>1.4770000000000001</v>
      </c>
      <c r="F341" s="33">
        <v>0</v>
      </c>
      <c r="G341">
        <v>0.14099999999999999</v>
      </c>
      <c r="H341">
        <v>-2.98</v>
      </c>
      <c r="I341">
        <v>-5.98</v>
      </c>
      <c r="J341">
        <v>-0.22</v>
      </c>
      <c r="K341">
        <v>-19.989999999999998</v>
      </c>
      <c r="L341">
        <v>47.53</v>
      </c>
      <c r="M341" s="33">
        <v>-0.247</v>
      </c>
      <c r="N341" s="33">
        <v>-0.37469999999999998</v>
      </c>
      <c r="O341">
        <v>0.72</v>
      </c>
      <c r="P341" s="33">
        <v>-2.4899999999999999E-2</v>
      </c>
      <c r="Q341" s="33">
        <v>-0.14860000000000001</v>
      </c>
      <c r="R341" s="34">
        <v>24181.4</v>
      </c>
      <c r="S341" s="34">
        <v>758413000</v>
      </c>
      <c r="T341">
        <v>1.51</v>
      </c>
      <c r="U341" s="33">
        <v>0.39360000000000001</v>
      </c>
    </row>
    <row r="342" spans="1:21" x14ac:dyDescent="0.25">
      <c r="A342" t="s">
        <v>70</v>
      </c>
      <c r="B342">
        <v>1.1599999999999999</v>
      </c>
      <c r="C342">
        <v>-3.83</v>
      </c>
      <c r="D342">
        <v>0.56999999999999995</v>
      </c>
      <c r="E342">
        <v>1.4359999999999999</v>
      </c>
      <c r="F342" s="33">
        <v>0</v>
      </c>
      <c r="G342">
        <v>0.13700000000000001</v>
      </c>
      <c r="H342">
        <v>-2.89</v>
      </c>
      <c r="I342">
        <v>-5.81</v>
      </c>
      <c r="J342">
        <v>-0.21</v>
      </c>
      <c r="K342">
        <v>-19.82</v>
      </c>
      <c r="L342">
        <v>47.13</v>
      </c>
      <c r="M342" s="33">
        <v>-0.247</v>
      </c>
      <c r="N342" s="33">
        <v>-0.37469999999999998</v>
      </c>
      <c r="O342">
        <v>0.72</v>
      </c>
      <c r="P342" s="33">
        <v>-2.4899999999999999E-2</v>
      </c>
      <c r="Q342" s="33">
        <v>-0.14860000000000001</v>
      </c>
      <c r="R342" s="34">
        <v>80046.3</v>
      </c>
      <c r="S342" s="34">
        <v>758413000</v>
      </c>
      <c r="T342">
        <v>1.51</v>
      </c>
      <c r="U342" s="33">
        <v>0.39360000000000001</v>
      </c>
    </row>
    <row r="343" spans="1:21" x14ac:dyDescent="0.25">
      <c r="A343" t="s">
        <v>88</v>
      </c>
      <c r="B343">
        <v>1.1200000000000001</v>
      </c>
      <c r="C343">
        <v>-3.7</v>
      </c>
      <c r="D343">
        <v>0.55000000000000004</v>
      </c>
      <c r="E343">
        <v>1.3859999999999999</v>
      </c>
      <c r="F343" s="33">
        <v>0</v>
      </c>
      <c r="G343">
        <v>0.13200000000000001</v>
      </c>
      <c r="H343">
        <v>-2.79</v>
      </c>
      <c r="I343">
        <v>-5.61</v>
      </c>
      <c r="J343">
        <v>-0.21</v>
      </c>
      <c r="K343">
        <v>-19.62</v>
      </c>
      <c r="L343">
        <v>46.66</v>
      </c>
      <c r="M343" s="33">
        <v>-0.247</v>
      </c>
      <c r="N343" s="33">
        <v>-0.37469999999999998</v>
      </c>
      <c r="O343">
        <v>0.72</v>
      </c>
      <c r="P343" s="33">
        <v>-2.4899999999999999E-2</v>
      </c>
      <c r="Q343" s="33">
        <v>-0.14860000000000001</v>
      </c>
      <c r="R343" s="34">
        <v>165378</v>
      </c>
      <c r="S343" s="34">
        <v>758413000</v>
      </c>
      <c r="T343">
        <v>1.51</v>
      </c>
      <c r="U343" s="33">
        <v>0.39360000000000001</v>
      </c>
    </row>
    <row r="344" spans="1:21" x14ac:dyDescent="0.25">
      <c r="A344" t="s">
        <v>52</v>
      </c>
      <c r="B344">
        <v>9.3800000000000008</v>
      </c>
      <c r="C344">
        <v>8.25</v>
      </c>
      <c r="D344">
        <v>0.72</v>
      </c>
      <c r="E344">
        <v>0.68</v>
      </c>
      <c r="F344" s="33">
        <v>9.2799999999999994E-2</v>
      </c>
      <c r="G344">
        <v>0.35199999999999998</v>
      </c>
      <c r="H344">
        <v>1.1000000000000001</v>
      </c>
      <c r="I344">
        <v>10.81</v>
      </c>
      <c r="J344">
        <v>3.48</v>
      </c>
      <c r="K344">
        <v>16.989999999999998</v>
      </c>
      <c r="L344">
        <v>9.5299999999999994</v>
      </c>
      <c r="M344" s="33">
        <v>6.2899999999999998E-2</v>
      </c>
      <c r="N344" s="33">
        <v>8.3400000000000002E-2</v>
      </c>
      <c r="O344">
        <v>2.12</v>
      </c>
      <c r="P344" s="33">
        <v>3.9E-2</v>
      </c>
      <c r="Q344" s="33">
        <v>8.6999999999999994E-2</v>
      </c>
      <c r="R344" s="34">
        <v>969014</v>
      </c>
      <c r="S344" s="34">
        <v>1218040000</v>
      </c>
      <c r="T344">
        <v>0.65</v>
      </c>
      <c r="U344" s="33">
        <v>2.3900000000000001E-2</v>
      </c>
    </row>
    <row r="345" spans="1:21" x14ac:dyDescent="0.25">
      <c r="A345" t="s">
        <v>446</v>
      </c>
      <c r="B345">
        <v>4.12</v>
      </c>
      <c r="C345">
        <v>-2.92</v>
      </c>
      <c r="D345">
        <v>0.37</v>
      </c>
      <c r="E345">
        <v>0</v>
      </c>
      <c r="F345" s="33">
        <v>0</v>
      </c>
      <c r="G345">
        <v>0.36299999999999999</v>
      </c>
      <c r="H345">
        <v>2.85</v>
      </c>
      <c r="I345">
        <v>-181.34</v>
      </c>
      <c r="J345">
        <v>3.01</v>
      </c>
      <c r="K345">
        <v>-117.19</v>
      </c>
      <c r="L345">
        <v>-117.19</v>
      </c>
      <c r="M345" s="33">
        <v>0</v>
      </c>
      <c r="N345" s="33">
        <v>0</v>
      </c>
      <c r="O345">
        <v>31.58</v>
      </c>
      <c r="P345" s="33">
        <v>-2.3E-3</v>
      </c>
      <c r="Q345" s="33">
        <v>-0.12570000000000001</v>
      </c>
      <c r="R345" s="34">
        <v>308.26</v>
      </c>
      <c r="S345" s="34">
        <v>949721000</v>
      </c>
      <c r="T345">
        <v>0</v>
      </c>
      <c r="U345" s="33">
        <v>0</v>
      </c>
    </row>
    <row r="346" spans="1:21" x14ac:dyDescent="0.25">
      <c r="A346" t="s">
        <v>447</v>
      </c>
      <c r="B346">
        <v>7.15</v>
      </c>
      <c r="C346">
        <v>-5.07</v>
      </c>
      <c r="D346">
        <v>0.64</v>
      </c>
      <c r="E346">
        <v>0</v>
      </c>
      <c r="F346" s="33">
        <v>8.6499999999999994E-2</v>
      </c>
      <c r="G346">
        <v>0.63</v>
      </c>
      <c r="H346">
        <v>4.95</v>
      </c>
      <c r="I346">
        <v>-314.7</v>
      </c>
      <c r="J346">
        <v>5.23</v>
      </c>
      <c r="K346">
        <v>-250.55</v>
      </c>
      <c r="L346">
        <v>-250.55</v>
      </c>
      <c r="M346" s="33">
        <v>0</v>
      </c>
      <c r="N346" s="33">
        <v>0</v>
      </c>
      <c r="O346">
        <v>31.58</v>
      </c>
      <c r="P346" s="33">
        <v>-2.3E-3</v>
      </c>
      <c r="Q346" s="33">
        <v>-0.12570000000000001</v>
      </c>
      <c r="R346" s="34">
        <v>1107.31</v>
      </c>
      <c r="S346" s="34">
        <v>949721000</v>
      </c>
      <c r="T346">
        <v>0</v>
      </c>
      <c r="U346" s="33">
        <v>0</v>
      </c>
    </row>
    <row r="347" spans="1:21" x14ac:dyDescent="0.25">
      <c r="A347" t="s">
        <v>448</v>
      </c>
      <c r="B347">
        <v>4.2</v>
      </c>
      <c r="C347">
        <v>-2.98</v>
      </c>
      <c r="D347">
        <v>0.37</v>
      </c>
      <c r="E347">
        <v>0</v>
      </c>
      <c r="F347" s="33">
        <v>0</v>
      </c>
      <c r="G347">
        <v>0.37</v>
      </c>
      <c r="H347">
        <v>2.9</v>
      </c>
      <c r="I347">
        <v>-184.86</v>
      </c>
      <c r="J347">
        <v>3.07</v>
      </c>
      <c r="K347">
        <v>-120.71</v>
      </c>
      <c r="L347">
        <v>-120.71</v>
      </c>
      <c r="M347" s="33">
        <v>0</v>
      </c>
      <c r="N347" s="33">
        <v>0</v>
      </c>
      <c r="O347">
        <v>31.58</v>
      </c>
      <c r="P347" s="33">
        <v>-2.3E-3</v>
      </c>
      <c r="Q347" s="33">
        <v>-0.12570000000000001</v>
      </c>
      <c r="R347" s="34">
        <v>126.19</v>
      </c>
      <c r="S347" s="34">
        <v>949721000</v>
      </c>
      <c r="T347">
        <v>0</v>
      </c>
      <c r="U347" s="33">
        <v>0</v>
      </c>
    </row>
    <row r="348" spans="1:21" x14ac:dyDescent="0.25">
      <c r="A348" t="s">
        <v>8</v>
      </c>
      <c r="B348">
        <v>2.88</v>
      </c>
      <c r="C348">
        <v>-0.15</v>
      </c>
      <c r="D348">
        <v>-0.03</v>
      </c>
      <c r="E348">
        <v>2.5999999999999999E-2</v>
      </c>
      <c r="F348" s="33">
        <v>0</v>
      </c>
      <c r="G348">
        <v>2.1000000000000001E-2</v>
      </c>
      <c r="H348">
        <v>-0.08</v>
      </c>
      <c r="I348">
        <v>-0.12</v>
      </c>
      <c r="J348">
        <v>-0.03</v>
      </c>
      <c r="K348">
        <v>-0.09</v>
      </c>
      <c r="L348">
        <v>-0.1</v>
      </c>
      <c r="M348" s="33">
        <v>-0.21099999999999999</v>
      </c>
      <c r="N348" s="33">
        <v>-0.17660000000000001</v>
      </c>
      <c r="O348">
        <v>0.78</v>
      </c>
      <c r="P348" s="33">
        <v>-0.17799999999999999</v>
      </c>
      <c r="Q348" s="33">
        <v>0.19389999999999999</v>
      </c>
      <c r="R348" s="34">
        <v>12808.9</v>
      </c>
      <c r="S348" s="34">
        <v>-6919010000</v>
      </c>
      <c r="T348">
        <v>0</v>
      </c>
      <c r="U348" s="33">
        <v>0.46329999999999999</v>
      </c>
    </row>
    <row r="349" spans="1:21" x14ac:dyDescent="0.25">
      <c r="A349" t="s">
        <v>256</v>
      </c>
      <c r="B349">
        <v>2.14</v>
      </c>
      <c r="C349">
        <v>0.15</v>
      </c>
      <c r="D349">
        <v>-0.04</v>
      </c>
      <c r="E349">
        <v>0.50800000000000001</v>
      </c>
      <c r="F349" s="33">
        <v>0</v>
      </c>
      <c r="G349">
        <v>8.5000000000000006E-2</v>
      </c>
      <c r="H349">
        <v>-0.14000000000000001</v>
      </c>
      <c r="I349">
        <v>-3.64</v>
      </c>
      <c r="J349">
        <v>-0.03</v>
      </c>
      <c r="K349">
        <v>-33.520000000000003</v>
      </c>
      <c r="L349">
        <v>-33.96</v>
      </c>
      <c r="M349" s="33">
        <v>-0.13950000000000001</v>
      </c>
      <c r="N349" s="33">
        <v>3.2847</v>
      </c>
      <c r="O349">
        <v>0.45</v>
      </c>
      <c r="P349" s="33">
        <v>-2.5100000000000001E-2</v>
      </c>
      <c r="Q349" s="33">
        <v>-0.28420000000000001</v>
      </c>
      <c r="R349" s="34">
        <v>78221.399999999994</v>
      </c>
      <c r="S349" s="34">
        <v>-972057000</v>
      </c>
      <c r="T349">
        <v>-0.39</v>
      </c>
      <c r="U349" s="33">
        <v>2.1999999999999999E-2</v>
      </c>
    </row>
    <row r="350" spans="1:21" x14ac:dyDescent="0.25">
      <c r="A350" t="s">
        <v>449</v>
      </c>
      <c r="B350">
        <v>66</v>
      </c>
      <c r="C350">
        <v>6.84</v>
      </c>
      <c r="D350">
        <v>1.6</v>
      </c>
      <c r="E350">
        <v>1.0329999999999999</v>
      </c>
      <c r="F350" s="33">
        <v>3.4000000000000002E-2</v>
      </c>
      <c r="G350">
        <v>0.96199999999999997</v>
      </c>
      <c r="H350">
        <v>2.73</v>
      </c>
      <c r="I350">
        <v>4.5599999999999996</v>
      </c>
      <c r="J350">
        <v>5.74</v>
      </c>
      <c r="K350">
        <v>4.1100000000000003</v>
      </c>
      <c r="L350">
        <v>3.82</v>
      </c>
      <c r="M350" s="33">
        <v>0.2268</v>
      </c>
      <c r="N350" s="33">
        <v>0.15110000000000001</v>
      </c>
      <c r="O350">
        <v>2.65</v>
      </c>
      <c r="P350" s="33">
        <v>0.2596</v>
      </c>
      <c r="Q350" s="33">
        <v>0.2336</v>
      </c>
      <c r="R350" s="34">
        <v>99204.4</v>
      </c>
      <c r="S350" s="34">
        <v>250923000</v>
      </c>
      <c r="T350">
        <v>0.06</v>
      </c>
      <c r="U350" s="33">
        <v>0.1169</v>
      </c>
    </row>
    <row r="351" spans="1:21" x14ac:dyDescent="0.25">
      <c r="A351" t="s">
        <v>450</v>
      </c>
      <c r="B351">
        <v>29.8</v>
      </c>
      <c r="C351">
        <v>8.07</v>
      </c>
      <c r="D351">
        <v>1.24</v>
      </c>
      <c r="E351">
        <v>0</v>
      </c>
      <c r="F351" s="33">
        <v>5.3999999999999999E-2</v>
      </c>
      <c r="G351">
        <v>0</v>
      </c>
      <c r="H351">
        <v>0</v>
      </c>
      <c r="I351">
        <v>0</v>
      </c>
      <c r="J351">
        <v>0</v>
      </c>
      <c r="K351">
        <v>0</v>
      </c>
      <c r="L351">
        <v>0</v>
      </c>
      <c r="M351" s="33">
        <v>0</v>
      </c>
      <c r="N351" s="33">
        <v>0</v>
      </c>
      <c r="O351">
        <v>0</v>
      </c>
      <c r="P351" s="33">
        <v>0</v>
      </c>
      <c r="Q351" s="33">
        <v>0.15379999999999999</v>
      </c>
      <c r="R351" s="34">
        <v>76560900</v>
      </c>
      <c r="S351" s="34">
        <v>90014800000</v>
      </c>
      <c r="T351">
        <v>0</v>
      </c>
      <c r="U351" s="33">
        <v>-8.0100000000000005E-2</v>
      </c>
    </row>
    <row r="352" spans="1:21" x14ac:dyDescent="0.25">
      <c r="A352" t="s">
        <v>30</v>
      </c>
      <c r="B352">
        <v>14.13</v>
      </c>
      <c r="C352">
        <v>7.65</v>
      </c>
      <c r="D352">
        <v>1.18</v>
      </c>
      <c r="E352">
        <v>0</v>
      </c>
      <c r="F352" s="33">
        <v>5.4199999999999998E-2</v>
      </c>
      <c r="G352">
        <v>0</v>
      </c>
      <c r="H352">
        <v>0</v>
      </c>
      <c r="I352">
        <v>0</v>
      </c>
      <c r="J352">
        <v>0</v>
      </c>
      <c r="K352">
        <v>0</v>
      </c>
      <c r="L352">
        <v>0</v>
      </c>
      <c r="M352" s="33">
        <v>0</v>
      </c>
      <c r="N352" s="33">
        <v>0</v>
      </c>
      <c r="O352">
        <v>0</v>
      </c>
      <c r="P352" s="33">
        <v>0</v>
      </c>
      <c r="Q352" s="33">
        <v>0.15379999999999999</v>
      </c>
      <c r="R352" s="34">
        <v>1337050</v>
      </c>
      <c r="S352" s="34">
        <v>90014800000</v>
      </c>
      <c r="T352">
        <v>0</v>
      </c>
      <c r="U352" s="33">
        <v>-8.0100000000000005E-2</v>
      </c>
    </row>
    <row r="353" spans="1:21" x14ac:dyDescent="0.25">
      <c r="A353" t="s">
        <v>12</v>
      </c>
      <c r="B353">
        <v>15.5</v>
      </c>
      <c r="C353">
        <v>8.39</v>
      </c>
      <c r="D353">
        <v>1.29</v>
      </c>
      <c r="E353">
        <v>0</v>
      </c>
      <c r="F353" s="33">
        <v>5.4399999999999997E-2</v>
      </c>
      <c r="G353">
        <v>0</v>
      </c>
      <c r="H353">
        <v>0</v>
      </c>
      <c r="I353">
        <v>0</v>
      </c>
      <c r="J353">
        <v>0</v>
      </c>
      <c r="K353">
        <v>0</v>
      </c>
      <c r="L353">
        <v>0</v>
      </c>
      <c r="M353" s="33">
        <v>0</v>
      </c>
      <c r="N353" s="33">
        <v>0</v>
      </c>
      <c r="O353">
        <v>0</v>
      </c>
      <c r="P353" s="33">
        <v>0</v>
      </c>
      <c r="Q353" s="33">
        <v>0.15379999999999999</v>
      </c>
      <c r="R353" s="34">
        <v>1534970</v>
      </c>
      <c r="S353" s="34">
        <v>90014800000</v>
      </c>
      <c r="T353">
        <v>0</v>
      </c>
      <c r="U353" s="33">
        <v>-8.0100000000000005E-2</v>
      </c>
    </row>
    <row r="354" spans="1:21" x14ac:dyDescent="0.25">
      <c r="A354" t="s">
        <v>451</v>
      </c>
      <c r="B354">
        <v>35.619999999999997</v>
      </c>
      <c r="C354">
        <v>4.53</v>
      </c>
      <c r="D354">
        <v>0.89</v>
      </c>
      <c r="E354">
        <v>1.548</v>
      </c>
      <c r="F354" s="33">
        <v>4.3499999999999997E-2</v>
      </c>
      <c r="G354">
        <v>0.433</v>
      </c>
      <c r="H354">
        <v>9.9499999999999993</v>
      </c>
      <c r="I354">
        <v>5.76</v>
      </c>
      <c r="J354">
        <v>-1.1399999999999999</v>
      </c>
      <c r="K354">
        <v>8.3000000000000007</v>
      </c>
      <c r="L354">
        <v>6.34</v>
      </c>
      <c r="M354" s="33">
        <v>0.26879999999999998</v>
      </c>
      <c r="N354" s="33">
        <v>0.34129999999999999</v>
      </c>
      <c r="O354">
        <v>1.47</v>
      </c>
      <c r="P354" s="33">
        <v>8.2299999999999998E-2</v>
      </c>
      <c r="Q354" s="33">
        <v>0.19719999999999999</v>
      </c>
      <c r="R354" s="34">
        <v>36484500</v>
      </c>
      <c r="S354" s="34">
        <v>12036700000</v>
      </c>
      <c r="T354">
        <v>0.55000000000000004</v>
      </c>
      <c r="U354" s="33">
        <v>9.9000000000000005E-2</v>
      </c>
    </row>
    <row r="355" spans="1:21" x14ac:dyDescent="0.25">
      <c r="A355" t="s">
        <v>35</v>
      </c>
      <c r="B355">
        <v>7.19</v>
      </c>
      <c r="C355">
        <v>4.58</v>
      </c>
      <c r="D355">
        <v>0.9</v>
      </c>
      <c r="E355">
        <v>1.5620000000000001</v>
      </c>
      <c r="F355" s="33">
        <v>3.9899999999999998E-2</v>
      </c>
      <c r="G355">
        <v>0.437</v>
      </c>
      <c r="H355">
        <v>10.039999999999999</v>
      </c>
      <c r="I355">
        <v>5.81</v>
      </c>
      <c r="J355">
        <v>-1.1499999999999999</v>
      </c>
      <c r="K355">
        <v>8.36</v>
      </c>
      <c r="L355">
        <v>6.38</v>
      </c>
      <c r="M355" s="33">
        <v>0.26879999999999998</v>
      </c>
      <c r="N355" s="33">
        <v>0.34129999999999999</v>
      </c>
      <c r="O355">
        <v>1.47</v>
      </c>
      <c r="P355" s="33">
        <v>8.2299999999999998E-2</v>
      </c>
      <c r="Q355" s="33">
        <v>0.19719999999999999</v>
      </c>
      <c r="R355" s="34">
        <v>1178270</v>
      </c>
      <c r="S355" s="34">
        <v>12036700000</v>
      </c>
      <c r="T355">
        <v>0.55000000000000004</v>
      </c>
      <c r="U355" s="33">
        <v>9.9000000000000005E-2</v>
      </c>
    </row>
    <row r="356" spans="1:21" x14ac:dyDescent="0.25">
      <c r="A356" t="s">
        <v>86</v>
      </c>
      <c r="B356">
        <v>7.06</v>
      </c>
      <c r="C356">
        <v>4.49</v>
      </c>
      <c r="D356">
        <v>0.89</v>
      </c>
      <c r="E356">
        <v>1.534</v>
      </c>
      <c r="F356" s="33">
        <v>4.4699999999999997E-2</v>
      </c>
      <c r="G356">
        <v>0.42899999999999999</v>
      </c>
      <c r="H356">
        <v>9.86</v>
      </c>
      <c r="I356">
        <v>5.71</v>
      </c>
      <c r="J356">
        <v>-1.1299999999999999</v>
      </c>
      <c r="K356">
        <v>8.25</v>
      </c>
      <c r="L356">
        <v>6.3</v>
      </c>
      <c r="M356" s="33">
        <v>0.26879999999999998</v>
      </c>
      <c r="N356" s="33">
        <v>0.34129999999999999</v>
      </c>
      <c r="O356">
        <v>1.47</v>
      </c>
      <c r="P356" s="33">
        <v>8.2299999999999998E-2</v>
      </c>
      <c r="Q356" s="33">
        <v>0.19719999999999999</v>
      </c>
      <c r="R356" s="34">
        <v>8059890</v>
      </c>
      <c r="S356" s="34">
        <v>12036700000</v>
      </c>
      <c r="T356">
        <v>0.55000000000000004</v>
      </c>
      <c r="U356" s="33">
        <v>9.9000000000000005E-2</v>
      </c>
    </row>
    <row r="357" spans="1:21" x14ac:dyDescent="0.25">
      <c r="A357" t="s">
        <v>200</v>
      </c>
      <c r="B357">
        <v>11.8</v>
      </c>
      <c r="C357">
        <v>5.09</v>
      </c>
      <c r="D357">
        <v>0.99</v>
      </c>
      <c r="E357">
        <v>0.39900000000000002</v>
      </c>
      <c r="F357" s="33">
        <v>4.65E-2</v>
      </c>
      <c r="G357">
        <v>0.34100000000000003</v>
      </c>
      <c r="H357">
        <v>2.0299999999999998</v>
      </c>
      <c r="I357">
        <v>4.88</v>
      </c>
      <c r="J357">
        <v>-2.35</v>
      </c>
      <c r="K357">
        <v>7.99</v>
      </c>
      <c r="L357">
        <v>4.63</v>
      </c>
      <c r="M357" s="33">
        <v>8.1799999999999998E-2</v>
      </c>
      <c r="N357" s="33">
        <v>7.8399999999999997E-2</v>
      </c>
      <c r="O357">
        <v>1.49</v>
      </c>
      <c r="P357" s="33">
        <v>8.8300000000000003E-2</v>
      </c>
      <c r="Q357" s="33">
        <v>0.1946</v>
      </c>
      <c r="R357" s="34">
        <v>16037900</v>
      </c>
      <c r="S357" s="34">
        <v>2907110000</v>
      </c>
      <c r="T357">
        <v>0.91</v>
      </c>
      <c r="U357" s="33">
        <v>0.24249999999999999</v>
      </c>
    </row>
    <row r="358" spans="1:21" x14ac:dyDescent="0.25">
      <c r="A358" t="s">
        <v>104</v>
      </c>
      <c r="B358">
        <v>115.11</v>
      </c>
      <c r="C358">
        <v>7.68</v>
      </c>
      <c r="D358">
        <v>2.0499999999999998</v>
      </c>
      <c r="E358">
        <v>2.0699999999999998</v>
      </c>
      <c r="F358" s="33">
        <v>3.2399999999999998E-2</v>
      </c>
      <c r="G358">
        <v>0.91800000000000004</v>
      </c>
      <c r="H358">
        <v>72.209999999999994</v>
      </c>
      <c r="I358">
        <v>4.6500000000000004</v>
      </c>
      <c r="J358">
        <v>-2.33</v>
      </c>
      <c r="K358">
        <v>5.8</v>
      </c>
      <c r="L358">
        <v>5.0599999999999996</v>
      </c>
      <c r="M358" s="33">
        <v>0.44519999999999998</v>
      </c>
      <c r="N358" s="33">
        <v>0.26939999999999997</v>
      </c>
      <c r="O358">
        <v>1.0900000000000001</v>
      </c>
      <c r="P358" s="33">
        <v>0.2213</v>
      </c>
      <c r="Q358" s="33">
        <v>0.2666</v>
      </c>
      <c r="R358" s="34">
        <v>400134000</v>
      </c>
      <c r="S358" s="34">
        <v>38397900000</v>
      </c>
      <c r="T358">
        <v>0.72</v>
      </c>
      <c r="U358" s="33">
        <v>0.1903</v>
      </c>
    </row>
    <row r="359" spans="1:21" x14ac:dyDescent="0.25">
      <c r="A359" t="s">
        <v>161</v>
      </c>
      <c r="B359">
        <v>16.989999999999998</v>
      </c>
      <c r="C359">
        <v>-34.049999999999997</v>
      </c>
      <c r="D359">
        <v>0.64</v>
      </c>
      <c r="E359">
        <v>2.1360000000000001</v>
      </c>
      <c r="F359" s="33">
        <v>0.1027</v>
      </c>
      <c r="G359">
        <v>0.35599999999999998</v>
      </c>
      <c r="H359">
        <v>1.89</v>
      </c>
      <c r="I359">
        <v>8.24</v>
      </c>
      <c r="J359">
        <v>-1.89</v>
      </c>
      <c r="K359">
        <v>16.54</v>
      </c>
      <c r="L359">
        <v>11.35</v>
      </c>
      <c r="M359" s="33">
        <v>0.25919999999999999</v>
      </c>
      <c r="N359" s="33">
        <v>-6.1699999999999998E-2</v>
      </c>
      <c r="O359">
        <v>3.95</v>
      </c>
      <c r="P359" s="33">
        <v>4.6100000000000002E-2</v>
      </c>
      <c r="Q359" s="33">
        <v>-1.8800000000000001E-2</v>
      </c>
      <c r="R359" s="34">
        <v>487818</v>
      </c>
      <c r="S359" s="34">
        <v>1533970000</v>
      </c>
      <c r="T359">
        <v>0.76</v>
      </c>
      <c r="U359" s="33">
        <v>0.23250000000000001</v>
      </c>
    </row>
    <row r="360" spans="1:21" x14ac:dyDescent="0.25">
      <c r="A360" t="s">
        <v>198</v>
      </c>
      <c r="B360">
        <v>10.38</v>
      </c>
      <c r="C360">
        <v>22.27</v>
      </c>
      <c r="D360">
        <v>1.07</v>
      </c>
      <c r="E360">
        <v>0.64500000000000002</v>
      </c>
      <c r="F360" s="33">
        <v>1.4800000000000001E-2</v>
      </c>
      <c r="G360">
        <v>0.39200000000000002</v>
      </c>
      <c r="H360">
        <v>6.79</v>
      </c>
      <c r="I360">
        <v>3.65</v>
      </c>
      <c r="J360">
        <v>-1.1000000000000001</v>
      </c>
      <c r="K360">
        <v>5.25</v>
      </c>
      <c r="L360">
        <v>3.27</v>
      </c>
      <c r="M360" s="33">
        <v>0.17699999999999999</v>
      </c>
      <c r="N360" s="33">
        <v>2.9000000000000001E-2</v>
      </c>
      <c r="O360">
        <v>1.26</v>
      </c>
      <c r="P360" s="33">
        <v>0.12</v>
      </c>
      <c r="Q360" s="33">
        <v>4.7899999999999998E-2</v>
      </c>
      <c r="R360" s="34">
        <v>8919100</v>
      </c>
      <c r="S360" s="34">
        <v>1251870000</v>
      </c>
      <c r="T360">
        <v>0.72</v>
      </c>
      <c r="U360" s="33">
        <v>0.1318</v>
      </c>
    </row>
    <row r="361" spans="1:21" x14ac:dyDescent="0.25">
      <c r="A361" t="s">
        <v>242</v>
      </c>
      <c r="B361">
        <v>1.57</v>
      </c>
      <c r="C361">
        <v>-7.0000000000000007E-2</v>
      </c>
      <c r="D361">
        <v>-0.1</v>
      </c>
      <c r="E361">
        <v>0.10299999999999999</v>
      </c>
      <c r="F361" s="33">
        <v>0</v>
      </c>
      <c r="G361">
        <v>6.4000000000000001E-2</v>
      </c>
      <c r="H361">
        <v>-0.13</v>
      </c>
      <c r="I361">
        <v>-0.12</v>
      </c>
      <c r="J361">
        <v>-0.04</v>
      </c>
      <c r="K361">
        <v>-1.63</v>
      </c>
      <c r="L361">
        <v>-2.09</v>
      </c>
      <c r="M361" s="33">
        <v>-0.84799999999999998</v>
      </c>
      <c r="N361" s="33">
        <v>-1.6624000000000001</v>
      </c>
      <c r="O361">
        <v>0.24</v>
      </c>
      <c r="P361" s="33">
        <v>-0.75780000000000003</v>
      </c>
      <c r="Q361" s="33">
        <v>1.4429000000000001</v>
      </c>
      <c r="R361" s="34">
        <v>538938</v>
      </c>
      <c r="S361" s="34">
        <v>-758374000</v>
      </c>
      <c r="T361">
        <v>-1.33</v>
      </c>
      <c r="U361" s="33">
        <v>-0.1162</v>
      </c>
    </row>
    <row r="362" spans="1:21" x14ac:dyDescent="0.25">
      <c r="A362" t="s">
        <v>248</v>
      </c>
      <c r="B362">
        <v>6.5</v>
      </c>
      <c r="C362">
        <v>-0.56000000000000005</v>
      </c>
      <c r="D362">
        <v>0.34</v>
      </c>
      <c r="E362">
        <v>0.28499999999999998</v>
      </c>
      <c r="F362" s="33">
        <v>0</v>
      </c>
      <c r="G362">
        <v>0.11</v>
      </c>
      <c r="H362" s="34">
        <v>0.7</v>
      </c>
      <c r="I362">
        <v>-2</v>
      </c>
      <c r="J362">
        <v>-1.1299999999999999</v>
      </c>
      <c r="K362">
        <v>-0.67</v>
      </c>
      <c r="L362">
        <v>-0.92</v>
      </c>
      <c r="M362" s="33">
        <v>-0.14249999999999999</v>
      </c>
      <c r="N362" s="33">
        <v>-0.49930000000000002</v>
      </c>
      <c r="O362">
        <v>1.37</v>
      </c>
      <c r="P362" s="33">
        <v>-0.1043</v>
      </c>
      <c r="Q362" s="33">
        <v>-0.60680000000000001</v>
      </c>
      <c r="R362" s="34">
        <v>187587</v>
      </c>
      <c r="S362" s="34">
        <v>128542000</v>
      </c>
      <c r="T362">
        <v>0.53</v>
      </c>
      <c r="U362" s="33">
        <v>0.87719999999999998</v>
      </c>
    </row>
    <row r="363" spans="1:21" x14ac:dyDescent="0.25">
      <c r="A363" t="s">
        <v>17</v>
      </c>
      <c r="B363">
        <v>5.31</v>
      </c>
      <c r="C363">
        <v>7.12</v>
      </c>
      <c r="D363">
        <v>1.29</v>
      </c>
      <c r="E363">
        <v>0.95599999999999996</v>
      </c>
      <c r="F363" s="33">
        <v>7.8200000000000006E-2</v>
      </c>
      <c r="G363">
        <v>0.67800000000000005</v>
      </c>
      <c r="H363">
        <v>1.55</v>
      </c>
      <c r="I363">
        <v>9.81</v>
      </c>
      <c r="J363">
        <v>4.0199999999999996</v>
      </c>
      <c r="K363">
        <v>9.57</v>
      </c>
      <c r="L363">
        <v>7.03</v>
      </c>
      <c r="M363" s="33">
        <v>9.7500000000000003E-2</v>
      </c>
      <c r="N363" s="33">
        <v>0.13420000000000001</v>
      </c>
      <c r="O363">
        <v>3.1</v>
      </c>
      <c r="P363" s="33">
        <v>0.111</v>
      </c>
      <c r="Q363" s="33">
        <v>0.18149999999999999</v>
      </c>
      <c r="R363" s="34">
        <v>2573410</v>
      </c>
      <c r="S363" s="34">
        <v>1468260000</v>
      </c>
      <c r="T363">
        <v>0.56999999999999995</v>
      </c>
      <c r="U363" s="33">
        <v>0.1152</v>
      </c>
    </row>
    <row r="364" spans="1:21" x14ac:dyDescent="0.25">
      <c r="A364" t="s">
        <v>215</v>
      </c>
      <c r="B364">
        <v>5.52</v>
      </c>
      <c r="C364">
        <v>-20.420000000000002</v>
      </c>
      <c r="D364">
        <v>1.71</v>
      </c>
      <c r="E364">
        <v>0.114</v>
      </c>
      <c r="F364" s="33">
        <v>1.2699999999999999E-2</v>
      </c>
      <c r="G364">
        <v>5.8000000000000003E-2</v>
      </c>
      <c r="H364">
        <v>0.55000000000000004</v>
      </c>
      <c r="I364">
        <v>0.67</v>
      </c>
      <c r="J364">
        <v>-0.1</v>
      </c>
      <c r="K364">
        <v>6.98</v>
      </c>
      <c r="L364">
        <v>4.46</v>
      </c>
      <c r="M364" s="33">
        <v>0.1699</v>
      </c>
      <c r="N364" s="33">
        <v>4.0000000000000002E-4</v>
      </c>
      <c r="O364">
        <v>1.45</v>
      </c>
      <c r="P364" s="33">
        <v>0.1137</v>
      </c>
      <c r="Q364" s="33">
        <v>-8.3599999999999994E-2</v>
      </c>
      <c r="R364" s="34">
        <v>27296300</v>
      </c>
      <c r="S364" s="34">
        <v>2824120000</v>
      </c>
      <c r="T364">
        <v>20.98</v>
      </c>
      <c r="U364" s="33">
        <v>0.43680000000000002</v>
      </c>
    </row>
    <row r="365" spans="1:21" x14ac:dyDescent="0.25">
      <c r="A365" t="s">
        <v>10</v>
      </c>
      <c r="B365">
        <v>18.489999999999998</v>
      </c>
      <c r="C365">
        <v>10.97</v>
      </c>
      <c r="D365">
        <v>1.67</v>
      </c>
      <c r="E365">
        <v>0.94799999999999995</v>
      </c>
      <c r="F365" s="33">
        <v>2.9499999999999998E-2</v>
      </c>
      <c r="G365">
        <v>0.46899999999999997</v>
      </c>
      <c r="H365">
        <v>3.49</v>
      </c>
      <c r="I365">
        <v>4.33</v>
      </c>
      <c r="J365">
        <v>-1.76</v>
      </c>
      <c r="K365">
        <v>7.01</v>
      </c>
      <c r="L365">
        <v>6</v>
      </c>
      <c r="M365" s="33">
        <v>0.21879999999999999</v>
      </c>
      <c r="N365" s="33">
        <v>8.8300000000000003E-2</v>
      </c>
      <c r="O365">
        <v>1.44</v>
      </c>
      <c r="P365" s="33">
        <v>0.1231</v>
      </c>
      <c r="Q365" s="33">
        <v>0.15210000000000001</v>
      </c>
      <c r="R365" s="34">
        <v>45447800</v>
      </c>
      <c r="S365" s="34">
        <v>4911400000</v>
      </c>
      <c r="T365">
        <v>1.29</v>
      </c>
      <c r="U365" s="33">
        <v>0.13589999999999999</v>
      </c>
    </row>
    <row r="366" spans="1:21" x14ac:dyDescent="0.25">
      <c r="A366" t="s">
        <v>50</v>
      </c>
      <c r="B366">
        <v>24.17</v>
      </c>
      <c r="C366">
        <v>31.13</v>
      </c>
      <c r="D366">
        <v>2.61</v>
      </c>
      <c r="E366">
        <v>2.4060000000000001</v>
      </c>
      <c r="F366" s="33">
        <v>2.69E-2</v>
      </c>
      <c r="G366">
        <v>0.79100000000000004</v>
      </c>
      <c r="H366">
        <v>9.9700000000000006</v>
      </c>
      <c r="I366">
        <v>10.42</v>
      </c>
      <c r="J366">
        <v>-1.69</v>
      </c>
      <c r="K366">
        <v>12.59</v>
      </c>
      <c r="L366">
        <v>6.05</v>
      </c>
      <c r="M366" s="33">
        <v>0.23089999999999999</v>
      </c>
      <c r="N366" s="33">
        <v>7.7899999999999997E-2</v>
      </c>
      <c r="O366">
        <v>1.53</v>
      </c>
      <c r="P366" s="33">
        <v>9.3399999999999997E-2</v>
      </c>
      <c r="Q366" s="33">
        <v>8.3900000000000002E-2</v>
      </c>
      <c r="R366" s="34">
        <v>186431000</v>
      </c>
      <c r="S366" s="34">
        <v>5527220000</v>
      </c>
      <c r="T366">
        <v>1.08</v>
      </c>
      <c r="U366" s="33">
        <v>0.54820000000000002</v>
      </c>
    </row>
    <row r="367" spans="1:21" x14ac:dyDescent="0.25">
      <c r="A367" t="s">
        <v>202</v>
      </c>
      <c r="B367">
        <v>20.18</v>
      </c>
      <c r="C367">
        <v>6.22</v>
      </c>
      <c r="D367">
        <v>1.03</v>
      </c>
      <c r="E367">
        <v>0.85499999999999998</v>
      </c>
      <c r="F367" s="33">
        <v>6.8699999999999997E-2</v>
      </c>
      <c r="G367">
        <v>0.30099999999999999</v>
      </c>
      <c r="H367">
        <v>1.58</v>
      </c>
      <c r="I367">
        <v>5.75</v>
      </c>
      <c r="J367">
        <v>-0.82</v>
      </c>
      <c r="K367">
        <v>12.68</v>
      </c>
      <c r="L367">
        <v>3.91</v>
      </c>
      <c r="M367" s="33">
        <v>0.14860000000000001</v>
      </c>
      <c r="N367" s="33">
        <v>0.13750000000000001</v>
      </c>
      <c r="O367">
        <v>2.27</v>
      </c>
      <c r="P367" s="33">
        <v>6.2799999999999995E-2</v>
      </c>
      <c r="Q367" s="33">
        <v>0.1656</v>
      </c>
      <c r="R367" s="34">
        <v>30641300</v>
      </c>
      <c r="S367" s="34">
        <v>6516220000</v>
      </c>
      <c r="T367">
        <v>1.74</v>
      </c>
      <c r="U367" s="33">
        <v>0.1454</v>
      </c>
    </row>
    <row r="368" spans="1:21" x14ac:dyDescent="0.25">
      <c r="A368" t="s">
        <v>175</v>
      </c>
      <c r="B368">
        <v>4.34</v>
      </c>
      <c r="C368">
        <v>-0.81</v>
      </c>
      <c r="D368">
        <v>-0.02</v>
      </c>
      <c r="E368">
        <v>3.5000000000000003E-2</v>
      </c>
      <c r="F368" s="33">
        <v>0</v>
      </c>
      <c r="G368">
        <v>5.8000000000000003E-2</v>
      </c>
      <c r="H368">
        <v>-0.5</v>
      </c>
      <c r="I368">
        <v>1.51</v>
      </c>
      <c r="J368">
        <v>-0.01</v>
      </c>
      <c r="K368">
        <v>11.01</v>
      </c>
      <c r="L368">
        <v>6.06</v>
      </c>
      <c r="M368" s="33">
        <v>2.29E-2</v>
      </c>
      <c r="N368" s="33">
        <v>-4.1700000000000001E-2</v>
      </c>
      <c r="O368">
        <v>0.84</v>
      </c>
      <c r="P368" s="33">
        <v>4.4299999999999999E-2</v>
      </c>
      <c r="Q368" s="33">
        <v>2.0500000000000001E-2</v>
      </c>
      <c r="R368" s="34">
        <v>23371.9</v>
      </c>
      <c r="S368" s="34">
        <v>-2025590000</v>
      </c>
      <c r="T368">
        <v>-0.11</v>
      </c>
      <c r="U368" s="33">
        <v>0.1275</v>
      </c>
    </row>
    <row r="369" spans="1:21" x14ac:dyDescent="0.25">
      <c r="A369" t="s">
        <v>105</v>
      </c>
      <c r="B369">
        <v>11.42</v>
      </c>
      <c r="C369">
        <v>15.45</v>
      </c>
      <c r="D369">
        <v>1.1499999999999999</v>
      </c>
      <c r="E369">
        <v>0.81200000000000006</v>
      </c>
      <c r="F369" s="33">
        <v>2.5999999999999999E-2</v>
      </c>
      <c r="G369">
        <v>0.44500000000000001</v>
      </c>
      <c r="H369">
        <v>0.86</v>
      </c>
      <c r="I369">
        <v>10.16</v>
      </c>
      <c r="J369">
        <v>1.53</v>
      </c>
      <c r="K369">
        <v>9.8800000000000008</v>
      </c>
      <c r="L369">
        <v>8.07</v>
      </c>
      <c r="M369" s="33">
        <v>7.9899999999999999E-2</v>
      </c>
      <c r="N369" s="33">
        <v>8.8900000000000007E-2</v>
      </c>
      <c r="O369">
        <v>3.46</v>
      </c>
      <c r="P369" s="33">
        <v>7.3999999999999996E-2</v>
      </c>
      <c r="Q369" s="33">
        <v>7.4200000000000002E-2</v>
      </c>
      <c r="R369" s="34">
        <v>8922470</v>
      </c>
      <c r="S369" s="34">
        <v>1347510000</v>
      </c>
      <c r="T369">
        <v>0.63</v>
      </c>
      <c r="U369" s="33">
        <v>0.33839999999999998</v>
      </c>
    </row>
    <row r="370" spans="1:21" x14ac:dyDescent="0.25">
      <c r="A370" t="s">
        <v>452</v>
      </c>
      <c r="B370">
        <v>44</v>
      </c>
      <c r="C370" s="34">
        <v>4.54</v>
      </c>
      <c r="D370">
        <v>1.51</v>
      </c>
      <c r="E370">
        <v>0.52400000000000002</v>
      </c>
      <c r="F370" s="33">
        <v>0.14249999999999999</v>
      </c>
      <c r="G370">
        <v>0.92200000000000004</v>
      </c>
      <c r="H370">
        <v>3.18</v>
      </c>
      <c r="I370">
        <v>3.34</v>
      </c>
      <c r="J370">
        <v>5.4</v>
      </c>
      <c r="K370">
        <v>2.38</v>
      </c>
      <c r="L370">
        <v>2.04</v>
      </c>
      <c r="M370" s="33">
        <v>0.15659999999999999</v>
      </c>
      <c r="N370" s="33">
        <v>0.1162</v>
      </c>
      <c r="O370">
        <v>2.0699999999999998</v>
      </c>
      <c r="P370" s="33">
        <v>0.38729999999999998</v>
      </c>
      <c r="Q370" s="33">
        <v>0.3327</v>
      </c>
      <c r="R370" s="34">
        <v>494.6</v>
      </c>
      <c r="S370" s="34">
        <v>71604000</v>
      </c>
      <c r="T370">
        <v>0</v>
      </c>
      <c r="U370" s="33">
        <v>0.33150000000000002</v>
      </c>
    </row>
    <row r="371" spans="1:21" x14ac:dyDescent="0.25">
      <c r="A371" t="s">
        <v>453</v>
      </c>
      <c r="B371">
        <v>43.02</v>
      </c>
      <c r="C371">
        <v>4.4400000000000004</v>
      </c>
      <c r="D371">
        <v>1.48</v>
      </c>
      <c r="E371">
        <v>0.51200000000000001</v>
      </c>
      <c r="F371" s="33">
        <v>0.14580000000000001</v>
      </c>
      <c r="G371">
        <v>0.90100000000000002</v>
      </c>
      <c r="H371" s="34">
        <v>3.11</v>
      </c>
      <c r="I371">
        <v>3.27</v>
      </c>
      <c r="J371">
        <v>5.28</v>
      </c>
      <c r="K371">
        <v>2.31</v>
      </c>
      <c r="L371">
        <v>1.97</v>
      </c>
      <c r="M371" s="33">
        <v>0.15659999999999999</v>
      </c>
      <c r="N371" s="33">
        <v>0.1162</v>
      </c>
      <c r="O371">
        <v>2.0699999999999998</v>
      </c>
      <c r="P371" s="33">
        <v>0.38729999999999998</v>
      </c>
      <c r="Q371" s="33">
        <v>0.3327</v>
      </c>
      <c r="R371" s="34">
        <v>1331</v>
      </c>
      <c r="S371" s="34">
        <v>71604000</v>
      </c>
      <c r="T371">
        <v>0</v>
      </c>
      <c r="U371" s="33">
        <v>0.33150000000000002</v>
      </c>
    </row>
    <row r="372" spans="1:21" x14ac:dyDescent="0.25">
      <c r="A372" t="s">
        <v>454</v>
      </c>
      <c r="B372">
        <v>11.62</v>
      </c>
      <c r="C372" s="34">
        <v>1180.6400000000001</v>
      </c>
      <c r="D372">
        <v>1.33</v>
      </c>
      <c r="E372">
        <v>1.575</v>
      </c>
      <c r="F372" s="33">
        <v>0</v>
      </c>
      <c r="G372">
        <v>0.35</v>
      </c>
      <c r="H372">
        <v>15.3</v>
      </c>
      <c r="I372">
        <v>6.15</v>
      </c>
      <c r="J372">
        <v>-0.61</v>
      </c>
      <c r="K372">
        <v>15.27</v>
      </c>
      <c r="L372">
        <v>9.11</v>
      </c>
      <c r="M372" s="33">
        <v>0.25619999999999998</v>
      </c>
      <c r="N372" s="33">
        <v>1.4E-3</v>
      </c>
      <c r="O372">
        <v>1.1599999999999999</v>
      </c>
      <c r="P372" s="33">
        <v>6.1699999999999998E-2</v>
      </c>
      <c r="Q372" s="33">
        <v>1.1000000000000001E-3</v>
      </c>
      <c r="R372" s="34">
        <v>93184300</v>
      </c>
      <c r="S372" s="34">
        <v>5443630000</v>
      </c>
      <c r="T372">
        <v>2.2000000000000002</v>
      </c>
      <c r="U372" s="33">
        <v>0.35930000000000001</v>
      </c>
    </row>
    <row r="373" spans="1:21" x14ac:dyDescent="0.25">
      <c r="A373" t="s">
        <v>63</v>
      </c>
      <c r="B373">
        <v>13.71</v>
      </c>
      <c r="C373">
        <v>14.95</v>
      </c>
      <c r="D373">
        <v>19.5</v>
      </c>
      <c r="E373">
        <v>3.7709999999999999</v>
      </c>
      <c r="F373" s="33">
        <v>0.18990000000000001</v>
      </c>
      <c r="G373">
        <v>2.2360000000000002</v>
      </c>
      <c r="H373" s="34">
        <v>2019.39</v>
      </c>
      <c r="I373">
        <v>8.75</v>
      </c>
      <c r="J373">
        <v>-3.09</v>
      </c>
      <c r="K373">
        <v>10.4</v>
      </c>
      <c r="L373">
        <v>8.68</v>
      </c>
      <c r="M373" s="33">
        <v>0.43120000000000003</v>
      </c>
      <c r="N373" s="33">
        <v>0.25230000000000002</v>
      </c>
      <c r="O373">
        <v>1.01</v>
      </c>
      <c r="P373" s="33">
        <v>0.28449999999999998</v>
      </c>
      <c r="Q373" s="33">
        <v>1.3043</v>
      </c>
      <c r="R373" s="34">
        <v>67972300</v>
      </c>
      <c r="S373" s="34">
        <v>607731000</v>
      </c>
      <c r="T373">
        <v>4.32</v>
      </c>
      <c r="U373" s="33">
        <v>0.29670000000000002</v>
      </c>
    </row>
    <row r="374" spans="1:21" x14ac:dyDescent="0.25">
      <c r="A374" t="s">
        <v>91</v>
      </c>
      <c r="B374">
        <v>54.11</v>
      </c>
      <c r="C374">
        <v>-71.739999999999995</v>
      </c>
      <c r="D374">
        <v>1.78</v>
      </c>
      <c r="E374">
        <v>1.3819999999999999</v>
      </c>
      <c r="F374" s="33">
        <v>3.73E-2</v>
      </c>
      <c r="G374">
        <v>0.441</v>
      </c>
      <c r="H374">
        <v>3.21</v>
      </c>
      <c r="I374">
        <v>4.8</v>
      </c>
      <c r="J374">
        <v>-0.83</v>
      </c>
      <c r="K374">
        <v>10.050000000000001</v>
      </c>
      <c r="L374">
        <v>5.96</v>
      </c>
      <c r="M374" s="33">
        <v>0.28760000000000002</v>
      </c>
      <c r="N374" s="33">
        <v>-1.8499999999999999E-2</v>
      </c>
      <c r="O374">
        <v>2.61</v>
      </c>
      <c r="P374" s="33">
        <v>0.1069</v>
      </c>
      <c r="Q374" s="33">
        <v>-2.4799999999999999E-2</v>
      </c>
      <c r="R374" s="34">
        <v>336511000</v>
      </c>
      <c r="S374" s="34">
        <v>38398300000</v>
      </c>
      <c r="T374">
        <v>2.37</v>
      </c>
      <c r="U374" s="33">
        <v>7.8100000000000003E-2</v>
      </c>
    </row>
    <row r="375" spans="1:21" x14ac:dyDescent="0.25">
      <c r="A375" t="s">
        <v>234</v>
      </c>
      <c r="B375">
        <v>5.67</v>
      </c>
      <c r="C375">
        <v>1.55</v>
      </c>
      <c r="D375">
        <v>0.79</v>
      </c>
      <c r="E375">
        <v>0.65100000000000002</v>
      </c>
      <c r="F375" s="33">
        <v>1.2363</v>
      </c>
      <c r="G375">
        <v>0.27300000000000002</v>
      </c>
      <c r="H375">
        <v>0.89</v>
      </c>
      <c r="I375">
        <v>1.84</v>
      </c>
      <c r="J375">
        <v>-7.26</v>
      </c>
      <c r="K375">
        <v>2.69</v>
      </c>
      <c r="L375">
        <v>2.31</v>
      </c>
      <c r="M375" s="33">
        <v>0.3533</v>
      </c>
      <c r="N375" s="33">
        <v>0.50480000000000003</v>
      </c>
      <c r="O375">
        <v>5.43</v>
      </c>
      <c r="P375" s="33">
        <v>0.1726</v>
      </c>
      <c r="Q375" s="33">
        <v>0.51129999999999998</v>
      </c>
      <c r="R375" s="34">
        <v>2819670</v>
      </c>
      <c r="S375" s="34">
        <v>1091940000</v>
      </c>
      <c r="T375">
        <v>0.77</v>
      </c>
      <c r="U375" s="33">
        <v>3.9E-2</v>
      </c>
    </row>
    <row r="376" spans="1:21" x14ac:dyDescent="0.25">
      <c r="A376" t="s">
        <v>455</v>
      </c>
      <c r="B376">
        <v>33.97</v>
      </c>
      <c r="C376">
        <v>6.94</v>
      </c>
      <c r="D376">
        <v>1.6</v>
      </c>
      <c r="E376">
        <v>2.948</v>
      </c>
      <c r="F376" s="33">
        <v>8.0600000000000005E-2</v>
      </c>
      <c r="G376">
        <v>0.55600000000000005</v>
      </c>
      <c r="H376">
        <v>8.15</v>
      </c>
      <c r="I376">
        <v>5.22</v>
      </c>
      <c r="J376">
        <v>-1.1000000000000001</v>
      </c>
      <c r="K376">
        <v>9.43</v>
      </c>
      <c r="L376">
        <v>9.31</v>
      </c>
      <c r="M376" s="33">
        <v>0.56499999999999995</v>
      </c>
      <c r="N376" s="33">
        <v>0.42449999999999999</v>
      </c>
      <c r="O376">
        <v>1.85</v>
      </c>
      <c r="P376" s="33">
        <v>0.1118</v>
      </c>
      <c r="Q376" s="33">
        <v>0.23089999999999999</v>
      </c>
      <c r="R376" s="34">
        <v>64198900</v>
      </c>
      <c r="S376" s="34">
        <v>7297940000</v>
      </c>
      <c r="T376">
        <v>1.41</v>
      </c>
      <c r="U376" s="33">
        <v>1.11E-2</v>
      </c>
    </row>
    <row r="377" spans="1:21" x14ac:dyDescent="0.25">
      <c r="A377" t="s">
        <v>267</v>
      </c>
      <c r="B377">
        <v>11.34</v>
      </c>
      <c r="C377">
        <v>6.96</v>
      </c>
      <c r="D377">
        <v>1.61</v>
      </c>
      <c r="E377">
        <v>2.952</v>
      </c>
      <c r="F377" s="33">
        <v>8.0500000000000002E-2</v>
      </c>
      <c r="G377">
        <v>0.55700000000000005</v>
      </c>
      <c r="H377">
        <v>8.16</v>
      </c>
      <c r="I377">
        <v>5.23</v>
      </c>
      <c r="J377">
        <v>-1.1000000000000001</v>
      </c>
      <c r="K377">
        <v>9.44</v>
      </c>
      <c r="L377">
        <v>9.32</v>
      </c>
      <c r="M377" s="33">
        <v>0.56499999999999995</v>
      </c>
      <c r="N377" s="33">
        <v>0.42449999999999999</v>
      </c>
      <c r="O377">
        <v>1.85</v>
      </c>
      <c r="P377" s="33">
        <v>0.1118</v>
      </c>
      <c r="Q377" s="33">
        <v>0.23089999999999999</v>
      </c>
      <c r="R377" s="34">
        <v>901793</v>
      </c>
      <c r="S377" s="34">
        <v>7297940000</v>
      </c>
      <c r="T377">
        <v>1.41</v>
      </c>
      <c r="U377" s="33">
        <v>1.11E-2</v>
      </c>
    </row>
    <row r="378" spans="1:21" x14ac:dyDescent="0.25">
      <c r="A378" t="s">
        <v>53</v>
      </c>
      <c r="B378">
        <v>11.36</v>
      </c>
      <c r="C378">
        <v>6.97</v>
      </c>
      <c r="D378">
        <v>1.61</v>
      </c>
      <c r="E378">
        <v>2.9580000000000002</v>
      </c>
      <c r="F378" s="33">
        <v>8.0399999999999999E-2</v>
      </c>
      <c r="G378">
        <v>0.55800000000000005</v>
      </c>
      <c r="H378">
        <v>8.18</v>
      </c>
      <c r="I378">
        <v>5.23</v>
      </c>
      <c r="J378">
        <v>-1.1100000000000001</v>
      </c>
      <c r="K378">
        <v>9.4499999999999993</v>
      </c>
      <c r="L378">
        <v>9.33</v>
      </c>
      <c r="M378" s="33">
        <v>0.56499999999999995</v>
      </c>
      <c r="N378" s="33">
        <v>0.42449999999999999</v>
      </c>
      <c r="O378">
        <v>1.85</v>
      </c>
      <c r="P378" s="33">
        <v>0.1118</v>
      </c>
      <c r="Q378" s="33">
        <v>0.23089999999999999</v>
      </c>
      <c r="R378" s="34">
        <v>1917500</v>
      </c>
      <c r="S378" s="34">
        <v>7297940000</v>
      </c>
      <c r="T378">
        <v>1.41</v>
      </c>
      <c r="U378" s="33">
        <v>1.11E-2</v>
      </c>
    </row>
    <row r="379" spans="1:21" x14ac:dyDescent="0.25">
      <c r="A379" t="s">
        <v>199</v>
      </c>
      <c r="B379">
        <v>7.75</v>
      </c>
      <c r="C379">
        <v>14.15</v>
      </c>
      <c r="D379">
        <v>0.85</v>
      </c>
      <c r="E379">
        <v>0.68600000000000005</v>
      </c>
      <c r="F379" s="33">
        <v>2.3800000000000002E-2</v>
      </c>
      <c r="G379">
        <v>0.42499999999999999</v>
      </c>
      <c r="H379">
        <v>1.79</v>
      </c>
      <c r="I379">
        <v>10.37</v>
      </c>
      <c r="J379">
        <v>5.56</v>
      </c>
      <c r="K379">
        <v>15.52</v>
      </c>
      <c r="L379">
        <v>10.77</v>
      </c>
      <c r="M379" s="33">
        <v>6.6199999999999995E-2</v>
      </c>
      <c r="N379" s="33">
        <v>4.8500000000000001E-2</v>
      </c>
      <c r="O379">
        <v>1.7</v>
      </c>
      <c r="P379" s="33">
        <v>4.7100000000000003E-2</v>
      </c>
      <c r="Q379" s="33">
        <v>6.0100000000000001E-2</v>
      </c>
      <c r="R379" s="34">
        <v>115808</v>
      </c>
      <c r="S379" s="34">
        <v>1268180000</v>
      </c>
      <c r="T379">
        <v>0.59</v>
      </c>
      <c r="U379" s="33">
        <v>-9.3700000000000006E-2</v>
      </c>
    </row>
    <row r="380" spans="1:21" x14ac:dyDescent="0.25">
      <c r="A380" t="s">
        <v>174</v>
      </c>
      <c r="B380">
        <v>7.18</v>
      </c>
      <c r="C380">
        <v>13.11</v>
      </c>
      <c r="D380">
        <v>0.79</v>
      </c>
      <c r="E380">
        <v>0.63600000000000001</v>
      </c>
      <c r="F380" s="33">
        <v>2.5700000000000001E-2</v>
      </c>
      <c r="G380">
        <v>0.39400000000000002</v>
      </c>
      <c r="H380">
        <v>1.66</v>
      </c>
      <c r="I380">
        <v>9.61</v>
      </c>
      <c r="J380">
        <v>5.15</v>
      </c>
      <c r="K380">
        <v>14.76</v>
      </c>
      <c r="L380">
        <v>10.24</v>
      </c>
      <c r="M380" s="33">
        <v>6.6199999999999995E-2</v>
      </c>
      <c r="N380" s="33">
        <v>4.8500000000000001E-2</v>
      </c>
      <c r="O380">
        <v>1.7</v>
      </c>
      <c r="P380" s="33">
        <v>4.7100000000000003E-2</v>
      </c>
      <c r="Q380" s="33">
        <v>6.0100000000000001E-2</v>
      </c>
      <c r="R380" s="34">
        <v>2863690</v>
      </c>
      <c r="S380" s="34">
        <v>1268180000</v>
      </c>
      <c r="T380">
        <v>0.59</v>
      </c>
      <c r="U380" s="33">
        <v>-9.3700000000000006E-2</v>
      </c>
    </row>
    <row r="381" spans="1:21" x14ac:dyDescent="0.25">
      <c r="A381" t="s">
        <v>257</v>
      </c>
      <c r="B381">
        <v>1.18</v>
      </c>
      <c r="C381">
        <v>-0.64</v>
      </c>
      <c r="D381">
        <v>0.23</v>
      </c>
      <c r="E381">
        <v>0.20200000000000001</v>
      </c>
      <c r="F381" s="33">
        <v>0</v>
      </c>
      <c r="G381">
        <v>6.9000000000000006E-2</v>
      </c>
      <c r="H381">
        <v>2.69</v>
      </c>
      <c r="I381">
        <v>-0.78</v>
      </c>
      <c r="J381">
        <v>-0.21</v>
      </c>
      <c r="K381">
        <v>-4.78</v>
      </c>
      <c r="L381">
        <v>-5.13</v>
      </c>
      <c r="M381" s="33">
        <v>-0.26050000000000001</v>
      </c>
      <c r="N381" s="33">
        <v>-0.32219999999999999</v>
      </c>
      <c r="O381">
        <v>1.08</v>
      </c>
      <c r="P381" s="33">
        <v>-0.10299999999999999</v>
      </c>
      <c r="Q381" s="33">
        <v>-0.3579</v>
      </c>
      <c r="R381" s="34">
        <v>109280</v>
      </c>
      <c r="S381" s="34">
        <v>378640000</v>
      </c>
      <c r="T381">
        <v>1.57</v>
      </c>
      <c r="U381" s="33">
        <v>0.31459999999999999</v>
      </c>
    </row>
    <row r="382" spans="1:21" x14ac:dyDescent="0.25">
      <c r="A382" t="s">
        <v>201</v>
      </c>
      <c r="B382">
        <v>6.87</v>
      </c>
      <c r="C382">
        <v>6.7</v>
      </c>
      <c r="D382">
        <v>1.04</v>
      </c>
      <c r="E382">
        <v>1.016</v>
      </c>
      <c r="F382" s="33">
        <v>3.5999999999999997E-2</v>
      </c>
      <c r="G382">
        <v>0.62</v>
      </c>
      <c r="H382">
        <v>1.36</v>
      </c>
      <c r="I382">
        <v>5.48</v>
      </c>
      <c r="J382">
        <v>2.37</v>
      </c>
      <c r="K382">
        <v>5.64</v>
      </c>
      <c r="L382">
        <v>6.51</v>
      </c>
      <c r="M382" s="33">
        <v>0.18540000000000001</v>
      </c>
      <c r="N382" s="33">
        <v>0.1517</v>
      </c>
      <c r="O382">
        <v>3.2</v>
      </c>
      <c r="P382" s="33">
        <v>0.1444</v>
      </c>
      <c r="Q382" s="33">
        <v>0.15529999999999999</v>
      </c>
      <c r="R382" s="34">
        <v>759562</v>
      </c>
      <c r="S382" s="34">
        <v>408423000</v>
      </c>
      <c r="T382">
        <v>0.25</v>
      </c>
      <c r="U382" s="33">
        <v>0.1166</v>
      </c>
    </row>
    <row r="383" spans="1:21" x14ac:dyDescent="0.25">
      <c r="A383" t="s">
        <v>456</v>
      </c>
      <c r="B383">
        <v>13</v>
      </c>
      <c r="C383">
        <v>219.32</v>
      </c>
      <c r="D383">
        <v>0.83</v>
      </c>
      <c r="E383">
        <v>2.7029999999999998</v>
      </c>
      <c r="F383" s="33">
        <v>0</v>
      </c>
      <c r="G383">
        <v>0.29599999999999999</v>
      </c>
      <c r="H383">
        <v>0.75</v>
      </c>
      <c r="I383">
        <v>-3.95</v>
      </c>
      <c r="J383">
        <v>-1.68</v>
      </c>
      <c r="K383">
        <v>0.26</v>
      </c>
      <c r="L383">
        <v>2.35</v>
      </c>
      <c r="M383" s="33">
        <v>-0.68459999999999999</v>
      </c>
      <c r="N383" s="33">
        <v>1.23E-2</v>
      </c>
      <c r="O383">
        <v>6.45</v>
      </c>
      <c r="P383" s="33">
        <v>-0.1178</v>
      </c>
      <c r="Q383" s="33">
        <v>3.8E-3</v>
      </c>
      <c r="R383" s="34">
        <v>30569.9</v>
      </c>
      <c r="S383" s="34">
        <v>1467590000</v>
      </c>
      <c r="T383">
        <v>0.01</v>
      </c>
      <c r="U383" s="33">
        <v>0.1429</v>
      </c>
    </row>
    <row r="384" spans="1:21" x14ac:dyDescent="0.25">
      <c r="A384" t="s">
        <v>14</v>
      </c>
      <c r="B384">
        <v>8.64</v>
      </c>
      <c r="C384">
        <v>145.76</v>
      </c>
      <c r="D384">
        <v>0.55000000000000004</v>
      </c>
      <c r="E384">
        <v>1.7969999999999999</v>
      </c>
      <c r="F384" s="33">
        <v>0</v>
      </c>
      <c r="G384">
        <v>0.19700000000000001</v>
      </c>
      <c r="H384">
        <v>0.5</v>
      </c>
      <c r="I384">
        <v>-2.62</v>
      </c>
      <c r="J384">
        <v>-1.1200000000000001</v>
      </c>
      <c r="K384">
        <v>1.58</v>
      </c>
      <c r="L384">
        <v>14.33</v>
      </c>
      <c r="M384" s="33">
        <v>-0.68459999999999999</v>
      </c>
      <c r="N384" s="33">
        <v>1.23E-2</v>
      </c>
      <c r="O384">
        <v>6.45</v>
      </c>
      <c r="P384" s="33">
        <v>-0.1178</v>
      </c>
      <c r="Q384" s="33">
        <v>3.8E-3</v>
      </c>
      <c r="R384" s="34">
        <v>27354</v>
      </c>
      <c r="S384" s="34">
        <v>1467590000</v>
      </c>
      <c r="T384">
        <v>0.01</v>
      </c>
      <c r="U384" s="33">
        <v>0.1429</v>
      </c>
    </row>
    <row r="385" spans="1:21" x14ac:dyDescent="0.25">
      <c r="A385" t="s">
        <v>64</v>
      </c>
      <c r="B385">
        <v>23.1</v>
      </c>
      <c r="C385">
        <v>15.1</v>
      </c>
      <c r="D385">
        <v>2.61</v>
      </c>
      <c r="E385">
        <v>0.83199999999999996</v>
      </c>
      <c r="F385" s="33">
        <v>7.4000000000000003E-3</v>
      </c>
      <c r="G385">
        <v>0.55100000000000005</v>
      </c>
      <c r="H385">
        <v>2.14</v>
      </c>
      <c r="I385">
        <v>6.45</v>
      </c>
      <c r="J385">
        <v>-2.85</v>
      </c>
      <c r="K385">
        <v>7.46</v>
      </c>
      <c r="L385">
        <v>6.44</v>
      </c>
      <c r="M385" s="33">
        <v>0.12889999999999999</v>
      </c>
      <c r="N385" s="33">
        <v>5.0799999999999998E-2</v>
      </c>
      <c r="O385">
        <v>1.77</v>
      </c>
      <c r="P385" s="33">
        <v>0.1028</v>
      </c>
      <c r="Q385" s="33">
        <v>0.17299999999999999</v>
      </c>
      <c r="R385" s="34">
        <v>47455200</v>
      </c>
      <c r="S385" s="34">
        <v>1083720000</v>
      </c>
      <c r="T385">
        <v>0.95</v>
      </c>
      <c r="U385" s="33">
        <v>8.5000000000000006E-2</v>
      </c>
    </row>
    <row r="386" spans="1:21" x14ac:dyDescent="0.25">
      <c r="A386" t="s">
        <v>154</v>
      </c>
      <c r="B386">
        <v>14.98</v>
      </c>
      <c r="C386">
        <v>18.190000000000001</v>
      </c>
      <c r="D386">
        <v>4.74</v>
      </c>
      <c r="E386">
        <v>2.601</v>
      </c>
      <c r="F386" s="33">
        <v>1.49E-2</v>
      </c>
      <c r="G386">
        <v>2.7669999999999999</v>
      </c>
      <c r="H386">
        <v>6.34</v>
      </c>
      <c r="I386">
        <v>13.02</v>
      </c>
      <c r="J386">
        <v>10.119999999999999</v>
      </c>
      <c r="K386">
        <v>13.57</v>
      </c>
      <c r="L386">
        <v>12.37</v>
      </c>
      <c r="M386" s="33">
        <v>0.19980000000000001</v>
      </c>
      <c r="N386" s="33">
        <v>0.14299999999999999</v>
      </c>
      <c r="O386">
        <v>2.72</v>
      </c>
      <c r="P386" s="33">
        <v>0.25069999999999998</v>
      </c>
      <c r="Q386" s="33">
        <v>0.2606</v>
      </c>
      <c r="R386" s="34">
        <v>7698730</v>
      </c>
      <c r="S386" s="34">
        <v>484021000</v>
      </c>
      <c r="T386">
        <v>0.3</v>
      </c>
      <c r="U386" s="33">
        <v>0.31109999999999999</v>
      </c>
    </row>
    <row r="387" spans="1:21" x14ac:dyDescent="0.25">
      <c r="A387" t="s">
        <v>68</v>
      </c>
      <c r="B387">
        <v>36.4</v>
      </c>
      <c r="C387">
        <v>8.6999999999999993</v>
      </c>
      <c r="D387">
        <v>2.4900000000000002</v>
      </c>
      <c r="E387">
        <v>1.1220000000000001</v>
      </c>
      <c r="F387" s="33">
        <v>7.0900000000000005E-2</v>
      </c>
      <c r="G387">
        <v>1.7809999999999999</v>
      </c>
      <c r="H387">
        <v>4.93</v>
      </c>
      <c r="I387">
        <v>6.81</v>
      </c>
      <c r="J387">
        <v>7.41</v>
      </c>
      <c r="K387">
        <v>6.41</v>
      </c>
      <c r="L387">
        <v>5.95</v>
      </c>
      <c r="M387" s="33">
        <v>0.16470000000000001</v>
      </c>
      <c r="N387" s="33">
        <v>0.1293</v>
      </c>
      <c r="O387">
        <v>3.2</v>
      </c>
      <c r="P387" s="33">
        <v>0.36659999999999998</v>
      </c>
      <c r="Q387" s="33">
        <v>0.28620000000000001</v>
      </c>
      <c r="R387" s="34">
        <v>9266360</v>
      </c>
      <c r="S387" s="34">
        <v>965143000</v>
      </c>
      <c r="T387">
        <v>0.21</v>
      </c>
      <c r="U387" s="33">
        <v>0.23</v>
      </c>
    </row>
    <row r="388" spans="1:21" x14ac:dyDescent="0.25">
      <c r="A388" t="s">
        <v>140</v>
      </c>
      <c r="B388">
        <v>20.56</v>
      </c>
      <c r="C388">
        <v>-95.82</v>
      </c>
      <c r="D388">
        <v>0</v>
      </c>
      <c r="E388">
        <v>-8.1649999999999991</v>
      </c>
      <c r="F388" s="33">
        <v>8.6199999999999999E-2</v>
      </c>
      <c r="G388">
        <v>0</v>
      </c>
      <c r="H388">
        <v>0</v>
      </c>
      <c r="I388">
        <v>-40.520000000000003</v>
      </c>
      <c r="J388">
        <v>0</v>
      </c>
      <c r="K388">
        <v>-40.520000000000003</v>
      </c>
      <c r="L388">
        <v>-16.68</v>
      </c>
      <c r="M388" s="33">
        <v>0.20150000000000001</v>
      </c>
      <c r="N388" s="33">
        <v>8.5199999999999998E-2</v>
      </c>
      <c r="O388">
        <v>0</v>
      </c>
      <c r="P388" s="33">
        <v>0</v>
      </c>
      <c r="Q388" s="33">
        <v>0</v>
      </c>
      <c r="R388" s="34">
        <v>128789000</v>
      </c>
      <c r="S388" s="34">
        <v>0</v>
      </c>
      <c r="T388">
        <v>0</v>
      </c>
      <c r="U388" s="33">
        <v>0.1273</v>
      </c>
    </row>
    <row r="389" spans="1:21" x14ac:dyDescent="0.25">
      <c r="A389" t="s">
        <v>457</v>
      </c>
      <c r="B389">
        <v>82</v>
      </c>
      <c r="C389">
        <v>5.04</v>
      </c>
      <c r="D389">
        <v>0.74</v>
      </c>
      <c r="E389">
        <v>0.81200000000000006</v>
      </c>
      <c r="F389" s="33">
        <v>8.5900000000000004E-2</v>
      </c>
      <c r="G389">
        <v>0.59</v>
      </c>
      <c r="H389">
        <v>1.4</v>
      </c>
      <c r="I389">
        <v>5.62</v>
      </c>
      <c r="J389">
        <v>1.53</v>
      </c>
      <c r="K389">
        <v>4.03</v>
      </c>
      <c r="L389">
        <v>3.41</v>
      </c>
      <c r="M389" s="33">
        <v>0.1444</v>
      </c>
      <c r="N389" s="33">
        <v>0.16120000000000001</v>
      </c>
      <c r="O389">
        <v>3.45</v>
      </c>
      <c r="P389" s="33">
        <v>0.1416</v>
      </c>
      <c r="Q389" s="33">
        <v>0.1479</v>
      </c>
      <c r="R389" s="34">
        <v>2735.48</v>
      </c>
      <c r="S389" s="34">
        <v>324623000</v>
      </c>
      <c r="T389">
        <v>0.01</v>
      </c>
      <c r="U389" s="33">
        <v>6.6100000000000006E-2</v>
      </c>
    </row>
    <row r="390" spans="1:21" x14ac:dyDescent="0.25">
      <c r="A390" t="s">
        <v>32</v>
      </c>
      <c r="B390">
        <v>41.04</v>
      </c>
      <c r="C390">
        <v>31.32</v>
      </c>
      <c r="D390">
        <v>5.13</v>
      </c>
      <c r="E390">
        <v>4.5229999999999997</v>
      </c>
      <c r="F390" s="33">
        <v>1.47E-2</v>
      </c>
      <c r="G390">
        <v>2.8319999999999999</v>
      </c>
      <c r="H390">
        <v>13.95</v>
      </c>
      <c r="I390">
        <v>12.28</v>
      </c>
      <c r="J390">
        <v>-37.71</v>
      </c>
      <c r="K390">
        <v>12.12</v>
      </c>
      <c r="L390">
        <v>10.37</v>
      </c>
      <c r="M390" s="33">
        <v>0.36840000000000001</v>
      </c>
      <c r="N390" s="33">
        <v>0.14829999999999999</v>
      </c>
      <c r="O390">
        <v>2.52</v>
      </c>
      <c r="P390" s="33">
        <v>0.30780000000000002</v>
      </c>
      <c r="Q390" s="33">
        <v>0.16370000000000001</v>
      </c>
      <c r="R390" s="34">
        <v>155326000</v>
      </c>
      <c r="S390" s="34">
        <v>4799780000</v>
      </c>
      <c r="T390">
        <v>0.34</v>
      </c>
      <c r="U390" s="33">
        <v>0.18229999999999999</v>
      </c>
    </row>
    <row r="391" spans="1:21" x14ac:dyDescent="0.25">
      <c r="A391" t="s">
        <v>173</v>
      </c>
      <c r="B391">
        <v>4</v>
      </c>
      <c r="C391">
        <v>8.7200000000000006</v>
      </c>
      <c r="D391">
        <v>0.19</v>
      </c>
      <c r="E391">
        <v>0.13600000000000001</v>
      </c>
      <c r="F391" s="33">
        <v>5.7599999999999998E-2</v>
      </c>
      <c r="G391">
        <v>6.5000000000000002E-2</v>
      </c>
      <c r="H391">
        <v>-0.15</v>
      </c>
      <c r="I391">
        <v>0.73</v>
      </c>
      <c r="J391">
        <v>-0.11</v>
      </c>
      <c r="K391">
        <v>6.24</v>
      </c>
      <c r="L391">
        <v>3.8</v>
      </c>
      <c r="M391" s="33">
        <v>0.185</v>
      </c>
      <c r="N391" s="33">
        <v>2.9999999999999997E-4</v>
      </c>
      <c r="O391">
        <v>0.13</v>
      </c>
      <c r="P391" s="33">
        <v>9.3100000000000002E-2</v>
      </c>
      <c r="Q391" s="33">
        <v>2.2100000000000002E-2</v>
      </c>
      <c r="R391" s="34">
        <v>86124.5</v>
      </c>
      <c r="S391" s="34">
        <v>912716000</v>
      </c>
      <c r="T391">
        <v>1.5</v>
      </c>
      <c r="U391" s="33">
        <v>7.6100000000000001E-2</v>
      </c>
    </row>
    <row r="392" spans="1:21" x14ac:dyDescent="0.25">
      <c r="A392" t="s">
        <v>189</v>
      </c>
      <c r="B392">
        <v>7.2</v>
      </c>
      <c r="C392">
        <v>-3.36</v>
      </c>
      <c r="D392">
        <v>1.54</v>
      </c>
      <c r="E392">
        <v>6.9340000000000002</v>
      </c>
      <c r="F392" s="33">
        <v>0</v>
      </c>
      <c r="G392">
        <v>1.409</v>
      </c>
      <c r="H392">
        <v>6.53</v>
      </c>
      <c r="I392">
        <v>-5.78</v>
      </c>
      <c r="J392">
        <v>7.15</v>
      </c>
      <c r="K392">
        <v>-5.27</v>
      </c>
      <c r="L392">
        <v>-7</v>
      </c>
      <c r="M392" s="33">
        <v>-1.1986000000000001</v>
      </c>
      <c r="N392" s="33">
        <v>-2.0678999999999998</v>
      </c>
      <c r="O392">
        <v>4.05</v>
      </c>
      <c r="P392" s="33">
        <v>-0.28270000000000001</v>
      </c>
      <c r="Q392" s="33">
        <v>-0.45900000000000002</v>
      </c>
      <c r="R392" s="34">
        <v>367617</v>
      </c>
      <c r="S392" s="34">
        <v>186999000</v>
      </c>
      <c r="T392">
        <v>0.01</v>
      </c>
      <c r="U392" s="33">
        <v>-0.26050000000000001</v>
      </c>
    </row>
    <row r="393" spans="1:21" x14ac:dyDescent="0.25">
      <c r="A393" t="s">
        <v>117</v>
      </c>
      <c r="B393">
        <v>7.64</v>
      </c>
      <c r="C393">
        <v>7.82</v>
      </c>
      <c r="D393">
        <v>0.95</v>
      </c>
      <c r="E393">
        <v>1.083</v>
      </c>
      <c r="F393" s="33">
        <v>3.9399999999999998E-2</v>
      </c>
      <c r="G393">
        <v>0.45700000000000002</v>
      </c>
      <c r="H393">
        <v>0.76</v>
      </c>
      <c r="I393">
        <v>7.52</v>
      </c>
      <c r="J393">
        <v>1.39</v>
      </c>
      <c r="K393">
        <v>9.39</v>
      </c>
      <c r="L393">
        <v>8.1</v>
      </c>
      <c r="M393" s="33">
        <v>0.14410000000000001</v>
      </c>
      <c r="N393" s="33">
        <v>0.1419</v>
      </c>
      <c r="O393">
        <v>3.57</v>
      </c>
      <c r="P393" s="33">
        <v>7.4899999999999994E-2</v>
      </c>
      <c r="Q393" s="33">
        <v>0.1216</v>
      </c>
      <c r="R393" s="34">
        <v>4868710</v>
      </c>
      <c r="S393" s="34">
        <v>1500220000</v>
      </c>
      <c r="T393">
        <v>0.59</v>
      </c>
      <c r="U393" s="33">
        <v>0.12130000000000001</v>
      </c>
    </row>
    <row r="394" spans="1:21" x14ac:dyDescent="0.25">
      <c r="A394" t="s">
        <v>458</v>
      </c>
      <c r="B394">
        <v>14.56</v>
      </c>
      <c r="C394">
        <v>9.16</v>
      </c>
      <c r="D394">
        <v>1.75</v>
      </c>
      <c r="E394">
        <v>0.53300000000000003</v>
      </c>
      <c r="F394" s="33">
        <v>1.3100000000000001E-2</v>
      </c>
      <c r="G394">
        <v>0.74</v>
      </c>
      <c r="H394">
        <v>3.66</v>
      </c>
      <c r="I394">
        <v>6.07</v>
      </c>
      <c r="J394">
        <v>9.61</v>
      </c>
      <c r="K394">
        <v>6.53</v>
      </c>
      <c r="L394" s="34">
        <v>6.03</v>
      </c>
      <c r="M394" s="33">
        <v>8.7800000000000003E-2</v>
      </c>
      <c r="N394" s="33">
        <v>5.8099999999999999E-2</v>
      </c>
      <c r="O394">
        <v>1.45</v>
      </c>
      <c r="P394" s="33">
        <v>0.23599999999999999</v>
      </c>
      <c r="Q394" s="33">
        <v>0.19109999999999999</v>
      </c>
      <c r="R394" s="34">
        <v>22448000</v>
      </c>
      <c r="S394" s="34">
        <v>4153040000</v>
      </c>
      <c r="T394">
        <v>0.53</v>
      </c>
      <c r="U394" s="33">
        <v>0.32719999999999999</v>
      </c>
    </row>
    <row r="395" spans="1:21" x14ac:dyDescent="0.25">
      <c r="A395" t="s">
        <v>160</v>
      </c>
      <c r="B395">
        <v>19.079999999999998</v>
      </c>
      <c r="C395">
        <v>-64.31</v>
      </c>
      <c r="D395">
        <v>0.83</v>
      </c>
      <c r="E395">
        <v>0.26100000000000001</v>
      </c>
      <c r="F395" s="33">
        <v>7.2999999999999995E-2</v>
      </c>
      <c r="G395">
        <v>0.25700000000000001</v>
      </c>
      <c r="H395">
        <v>0.71</v>
      </c>
      <c r="I395">
        <v>3.25</v>
      </c>
      <c r="J395">
        <v>-5.0199999999999996</v>
      </c>
      <c r="K395">
        <v>6.25</v>
      </c>
      <c r="L395" s="34">
        <v>4.2699999999999996</v>
      </c>
      <c r="M395" s="33">
        <v>8.0299999999999996E-2</v>
      </c>
      <c r="N395" s="33">
        <v>-4.1999999999999997E-3</v>
      </c>
      <c r="O395">
        <v>2.33</v>
      </c>
      <c r="P395" s="33">
        <v>0.1144</v>
      </c>
      <c r="Q395" s="33">
        <v>-1.29E-2</v>
      </c>
      <c r="R395" s="34">
        <v>16206900</v>
      </c>
      <c r="S395" s="34">
        <v>3314060000</v>
      </c>
      <c r="T395">
        <v>1.28</v>
      </c>
      <c r="U395" s="33">
        <v>0.21640000000000001</v>
      </c>
    </row>
    <row r="396" spans="1:21" x14ac:dyDescent="0.25">
      <c r="A396" t="s">
        <v>459</v>
      </c>
      <c r="B396">
        <v>8.5</v>
      </c>
      <c r="C396">
        <v>-0.83</v>
      </c>
      <c r="D396">
        <v>-0.1</v>
      </c>
      <c r="E396">
        <v>0.308</v>
      </c>
      <c r="F396" s="33">
        <v>0</v>
      </c>
      <c r="G396">
        <v>0.214</v>
      </c>
      <c r="H396">
        <v>-0.21</v>
      </c>
      <c r="I396">
        <v>-7.39</v>
      </c>
      <c r="J396">
        <v>-0.08</v>
      </c>
      <c r="K396">
        <v>-73.38</v>
      </c>
      <c r="L396" s="34">
        <v>-1325.78</v>
      </c>
      <c r="M396" s="33">
        <v>-4.1599999999999998E-2</v>
      </c>
      <c r="N396" s="33">
        <v>-0.37230000000000002</v>
      </c>
      <c r="O396">
        <v>0.27</v>
      </c>
      <c r="P396" s="33">
        <v>-3.0599999999999999E-2</v>
      </c>
      <c r="Q396" s="33">
        <v>0.1215</v>
      </c>
      <c r="R396" s="34">
        <v>101.19</v>
      </c>
      <c r="S396" s="34">
        <v>-360582000</v>
      </c>
      <c r="T396">
        <v>-0.9</v>
      </c>
      <c r="U396" s="33">
        <v>-5.1999999999999998E-3</v>
      </c>
    </row>
    <row r="397" spans="1:21" x14ac:dyDescent="0.25">
      <c r="A397" t="s">
        <v>460</v>
      </c>
      <c r="B397">
        <v>1.75</v>
      </c>
      <c r="C397" s="34">
        <v>-0.17</v>
      </c>
      <c r="D397">
        <v>-0.02</v>
      </c>
      <c r="E397">
        <v>6.3E-2</v>
      </c>
      <c r="F397" s="33">
        <v>0</v>
      </c>
      <c r="G397">
        <v>4.3999999999999997E-2</v>
      </c>
      <c r="H397">
        <v>-0.04</v>
      </c>
      <c r="I397">
        <v>-1.52</v>
      </c>
      <c r="J397">
        <v>-0.02</v>
      </c>
      <c r="K397">
        <v>-67.510000000000005</v>
      </c>
      <c r="L397" s="34">
        <v>-1219.7</v>
      </c>
      <c r="M397" s="33">
        <v>-4.1599999999999998E-2</v>
      </c>
      <c r="N397" s="33">
        <v>-0.37230000000000002</v>
      </c>
      <c r="O397">
        <v>0.27</v>
      </c>
      <c r="P397" s="33">
        <v>-3.0599999999999999E-2</v>
      </c>
      <c r="Q397" s="33">
        <v>0.1215</v>
      </c>
      <c r="R397" s="34">
        <v>3998.74</v>
      </c>
      <c r="S397" s="34">
        <v>-360582000</v>
      </c>
      <c r="T397">
        <v>-0.9</v>
      </c>
      <c r="U397" s="33">
        <v>-5.1999999999999998E-3</v>
      </c>
    </row>
    <row r="398" spans="1:21" x14ac:dyDescent="0.25">
      <c r="A398" t="s">
        <v>124</v>
      </c>
      <c r="B398">
        <v>1.5</v>
      </c>
      <c r="C398">
        <v>23.48</v>
      </c>
      <c r="D398">
        <v>0.53</v>
      </c>
      <c r="E398">
        <v>0.44600000000000001</v>
      </c>
      <c r="F398" s="33">
        <v>0.1211</v>
      </c>
      <c r="G398">
        <v>0.255</v>
      </c>
      <c r="H398">
        <v>3.42</v>
      </c>
      <c r="I398">
        <v>-15.01</v>
      </c>
      <c r="J398">
        <v>-1.27</v>
      </c>
      <c r="K398">
        <v>-23.78</v>
      </c>
      <c r="L398">
        <v>17.37</v>
      </c>
      <c r="M398" s="33">
        <v>-2.9700000000000001E-2</v>
      </c>
      <c r="N398" s="33">
        <v>1.9E-2</v>
      </c>
      <c r="O398">
        <v>1.3</v>
      </c>
      <c r="P398" s="33">
        <v>-2.06E-2</v>
      </c>
      <c r="Q398" s="33">
        <v>2.2599999999999999E-2</v>
      </c>
      <c r="R398" s="34">
        <v>85323.4</v>
      </c>
      <c r="S398" s="34">
        <v>186424000</v>
      </c>
      <c r="T398">
        <v>0.59</v>
      </c>
      <c r="U398" s="33">
        <v>5.11E-2</v>
      </c>
    </row>
    <row r="399" spans="1:21" x14ac:dyDescent="0.25">
      <c r="A399" t="s">
        <v>115</v>
      </c>
      <c r="B399">
        <v>16.989999999999998</v>
      </c>
      <c r="C399">
        <v>8.3699999999999992</v>
      </c>
      <c r="D399">
        <v>1.25</v>
      </c>
      <c r="E399">
        <v>0.13900000000000001</v>
      </c>
      <c r="F399" s="33">
        <v>4.1200000000000001E-2</v>
      </c>
      <c r="G399">
        <v>0.502</v>
      </c>
      <c r="H399">
        <v>3.02</v>
      </c>
      <c r="I399">
        <v>3.59</v>
      </c>
      <c r="J399">
        <v>-2.6</v>
      </c>
      <c r="K399">
        <v>5.91</v>
      </c>
      <c r="L399">
        <v>4.79</v>
      </c>
      <c r="M399" s="33">
        <v>3.8699999999999998E-2</v>
      </c>
      <c r="N399" s="33">
        <v>1.78E-2</v>
      </c>
      <c r="O399">
        <v>1.76</v>
      </c>
      <c r="P399" s="33">
        <v>0.16789999999999999</v>
      </c>
      <c r="Q399" s="33">
        <v>0.14899999999999999</v>
      </c>
      <c r="R399" s="34">
        <v>98625100</v>
      </c>
      <c r="S399" s="34">
        <v>15195500000</v>
      </c>
      <c r="T399">
        <v>0.99</v>
      </c>
      <c r="U399" s="33">
        <v>0.11020000000000001</v>
      </c>
    </row>
    <row r="400" spans="1:21" x14ac:dyDescent="0.25">
      <c r="A400" t="s">
        <v>461</v>
      </c>
      <c r="B400">
        <v>53.29</v>
      </c>
      <c r="C400">
        <v>9.26</v>
      </c>
      <c r="D400">
        <v>2.2799999999999998</v>
      </c>
      <c r="E400">
        <v>1.07</v>
      </c>
      <c r="F400" s="33">
        <v>8.6400000000000005E-2</v>
      </c>
      <c r="G400">
        <v>0.82799999999999996</v>
      </c>
      <c r="H400">
        <v>3.81</v>
      </c>
      <c r="I400">
        <v>7.86</v>
      </c>
      <c r="J400">
        <v>-3.45</v>
      </c>
      <c r="K400">
        <v>9.1300000000000008</v>
      </c>
      <c r="L400">
        <v>6.37</v>
      </c>
      <c r="M400" s="33">
        <v>0.1361</v>
      </c>
      <c r="N400" s="33">
        <v>0.11559999999999999</v>
      </c>
      <c r="O400">
        <v>2.2400000000000002</v>
      </c>
      <c r="P400" s="33">
        <v>0.14269999999999999</v>
      </c>
      <c r="Q400" s="33">
        <v>0.2457</v>
      </c>
      <c r="R400" s="34">
        <v>251204</v>
      </c>
      <c r="S400" s="34">
        <v>2649660000</v>
      </c>
      <c r="T400">
        <v>0.93</v>
      </c>
      <c r="U400" s="33">
        <v>8.0000000000000002E-3</v>
      </c>
    </row>
    <row r="401" spans="1:21" x14ac:dyDescent="0.25">
      <c r="A401" t="s">
        <v>462</v>
      </c>
      <c r="B401">
        <v>59</v>
      </c>
      <c r="C401">
        <v>10.26</v>
      </c>
      <c r="D401">
        <v>2.52</v>
      </c>
      <c r="E401">
        <v>1.1850000000000001</v>
      </c>
      <c r="F401" s="33">
        <v>8.5800000000000001E-2</v>
      </c>
      <c r="G401">
        <v>0.91700000000000004</v>
      </c>
      <c r="H401">
        <v>4.21</v>
      </c>
      <c r="I401">
        <v>8.7100000000000009</v>
      </c>
      <c r="J401">
        <v>-3.82</v>
      </c>
      <c r="K401">
        <v>9.9700000000000006</v>
      </c>
      <c r="L401">
        <v>6.96</v>
      </c>
      <c r="M401" s="33">
        <v>0.1361</v>
      </c>
      <c r="N401" s="33">
        <v>0.11559999999999999</v>
      </c>
      <c r="O401">
        <v>2.2400000000000002</v>
      </c>
      <c r="P401" s="33">
        <v>0.14269999999999999</v>
      </c>
      <c r="Q401" s="33">
        <v>0.2457</v>
      </c>
      <c r="R401" s="34">
        <v>68297.600000000006</v>
      </c>
      <c r="S401" s="34">
        <v>2649660000</v>
      </c>
      <c r="T401">
        <v>0.93</v>
      </c>
      <c r="U401" s="33">
        <v>8.0000000000000002E-3</v>
      </c>
    </row>
    <row r="402" spans="1:21" x14ac:dyDescent="0.25">
      <c r="A402" t="s">
        <v>151</v>
      </c>
      <c r="B402">
        <v>59.11</v>
      </c>
      <c r="C402">
        <v>10.28</v>
      </c>
      <c r="D402">
        <v>2.52</v>
      </c>
      <c r="E402">
        <v>1.1870000000000001</v>
      </c>
      <c r="F402" s="33">
        <v>8.5699999999999998E-2</v>
      </c>
      <c r="G402">
        <v>0.91900000000000004</v>
      </c>
      <c r="H402">
        <v>4.22</v>
      </c>
      <c r="I402">
        <v>8.7200000000000006</v>
      </c>
      <c r="J402">
        <v>-3.83</v>
      </c>
      <c r="K402">
        <v>9.99</v>
      </c>
      <c r="L402">
        <v>6.97</v>
      </c>
      <c r="M402" s="33">
        <v>0.1361</v>
      </c>
      <c r="N402" s="33">
        <v>0.11559999999999999</v>
      </c>
      <c r="O402">
        <v>2.2400000000000002</v>
      </c>
      <c r="P402" s="33">
        <v>0.14269999999999999</v>
      </c>
      <c r="Q402" s="33">
        <v>0.2457</v>
      </c>
      <c r="R402" s="34">
        <v>7331840</v>
      </c>
      <c r="S402" s="34">
        <v>2649660000</v>
      </c>
      <c r="T402">
        <v>0.93</v>
      </c>
      <c r="U402" s="33">
        <v>8.0000000000000002E-3</v>
      </c>
    </row>
    <row r="403" spans="1:21" x14ac:dyDescent="0.25">
      <c r="A403" t="s">
        <v>113</v>
      </c>
      <c r="B403">
        <v>4.76</v>
      </c>
      <c r="C403">
        <v>42.45</v>
      </c>
      <c r="D403">
        <v>0.25</v>
      </c>
      <c r="E403">
        <v>0.22500000000000001</v>
      </c>
      <c r="F403" s="33">
        <v>0</v>
      </c>
      <c r="G403">
        <v>0.14599999999999999</v>
      </c>
      <c r="H403">
        <v>0.42</v>
      </c>
      <c r="I403">
        <v>6.36</v>
      </c>
      <c r="J403">
        <v>1.29</v>
      </c>
      <c r="K403">
        <v>7.69</v>
      </c>
      <c r="L403">
        <v>3.32</v>
      </c>
      <c r="M403" s="33">
        <v>3.5400000000000001E-2</v>
      </c>
      <c r="N403" s="33">
        <v>1.15E-2</v>
      </c>
      <c r="O403">
        <v>4.26</v>
      </c>
      <c r="P403" s="33">
        <v>2.98E-2</v>
      </c>
      <c r="Q403" s="33">
        <v>5.7999999999999996E-3</v>
      </c>
      <c r="R403" s="34">
        <v>1771070</v>
      </c>
      <c r="S403" s="34">
        <v>24175800000</v>
      </c>
      <c r="T403">
        <v>0.32</v>
      </c>
      <c r="U403" s="33">
        <v>3.7600000000000001E-2</v>
      </c>
    </row>
    <row r="404" spans="1:21" x14ac:dyDescent="0.25">
      <c r="A404" t="s">
        <v>125</v>
      </c>
      <c r="B404">
        <v>4.7699999999999996</v>
      </c>
      <c r="C404">
        <v>42.53</v>
      </c>
      <c r="D404">
        <v>0.25</v>
      </c>
      <c r="E404">
        <v>0.22600000000000001</v>
      </c>
      <c r="F404" s="33">
        <v>0</v>
      </c>
      <c r="G404">
        <v>0.14699999999999999</v>
      </c>
      <c r="H404">
        <v>0.43</v>
      </c>
      <c r="I404">
        <v>6.37</v>
      </c>
      <c r="J404">
        <v>1.3</v>
      </c>
      <c r="K404">
        <v>7.7</v>
      </c>
      <c r="L404">
        <v>3.33</v>
      </c>
      <c r="M404" s="33">
        <v>3.5400000000000001E-2</v>
      </c>
      <c r="N404" s="33">
        <v>1.15E-2</v>
      </c>
      <c r="O404">
        <v>4.26</v>
      </c>
      <c r="P404" s="33">
        <v>2.98E-2</v>
      </c>
      <c r="Q404" s="33">
        <v>5.7999999999999996E-3</v>
      </c>
      <c r="R404" s="34">
        <v>64196100</v>
      </c>
      <c r="S404" s="34">
        <v>24175800000</v>
      </c>
      <c r="T404">
        <v>0.32</v>
      </c>
      <c r="U404" s="33">
        <v>3.7600000000000001E-2</v>
      </c>
    </row>
    <row r="405" spans="1:21" x14ac:dyDescent="0.25">
      <c r="A405" t="s">
        <v>463</v>
      </c>
      <c r="B405">
        <v>8</v>
      </c>
      <c r="C405">
        <v>71.34</v>
      </c>
      <c r="D405">
        <v>0.41</v>
      </c>
      <c r="E405">
        <v>0.378</v>
      </c>
      <c r="F405" s="33">
        <v>0</v>
      </c>
      <c r="G405">
        <v>0.246</v>
      </c>
      <c r="H405">
        <v>0.71</v>
      </c>
      <c r="I405">
        <v>10.68</v>
      </c>
      <c r="J405">
        <v>2.17</v>
      </c>
      <c r="K405">
        <v>12.02</v>
      </c>
      <c r="L405">
        <v>5.19</v>
      </c>
      <c r="M405" s="33">
        <v>3.5400000000000001E-2</v>
      </c>
      <c r="N405" s="33">
        <v>1.15E-2</v>
      </c>
      <c r="O405">
        <v>4.26</v>
      </c>
      <c r="P405" s="33">
        <v>2.98E-2</v>
      </c>
      <c r="Q405" s="33">
        <v>5.7999999999999996E-3</v>
      </c>
      <c r="R405" s="34">
        <v>367.5</v>
      </c>
      <c r="S405" s="34">
        <v>24175800000</v>
      </c>
      <c r="T405">
        <v>0.32</v>
      </c>
      <c r="U405" s="33">
        <v>3.7600000000000001E-2</v>
      </c>
    </row>
    <row r="406" spans="1:21" x14ac:dyDescent="0.25">
      <c r="A406" t="s">
        <v>97</v>
      </c>
      <c r="B406">
        <v>52.13</v>
      </c>
      <c r="C406">
        <v>7.52</v>
      </c>
      <c r="D406">
        <v>1.17</v>
      </c>
      <c r="E406">
        <v>1.119</v>
      </c>
      <c r="F406" s="33">
        <v>9.1200000000000003E-2</v>
      </c>
      <c r="G406">
        <v>0.49399999999999999</v>
      </c>
      <c r="H406">
        <v>28.35</v>
      </c>
      <c r="I406">
        <v>3.31</v>
      </c>
      <c r="J406">
        <v>-1.27</v>
      </c>
      <c r="K406">
        <v>4.29</v>
      </c>
      <c r="L406">
        <v>3.46</v>
      </c>
      <c r="M406" s="33">
        <v>0.33779999999999999</v>
      </c>
      <c r="N406" s="33">
        <v>0.1431</v>
      </c>
      <c r="O406">
        <v>1.1100000000000001</v>
      </c>
      <c r="P406" s="33">
        <v>0.1658</v>
      </c>
      <c r="Q406" s="33">
        <v>0.15570000000000001</v>
      </c>
      <c r="R406" s="34">
        <v>875030000</v>
      </c>
      <c r="S406" s="34">
        <v>202082000000</v>
      </c>
      <c r="T406">
        <v>0.46</v>
      </c>
      <c r="U406" s="33">
        <v>-5.9799999999999999E-2</v>
      </c>
    </row>
    <row r="407" spans="1:21" x14ac:dyDescent="0.25">
      <c r="A407" t="s">
        <v>213</v>
      </c>
      <c r="B407">
        <v>4.6399999999999997</v>
      </c>
      <c r="C407">
        <v>16.399999999999999</v>
      </c>
      <c r="D407">
        <v>2.02</v>
      </c>
      <c r="E407">
        <v>1.165</v>
      </c>
      <c r="F407" s="33">
        <v>5.91E-2</v>
      </c>
      <c r="G407">
        <v>0.224</v>
      </c>
      <c r="H407">
        <v>1.84</v>
      </c>
      <c r="I407">
        <v>1.82</v>
      </c>
      <c r="J407">
        <v>-0.36</v>
      </c>
      <c r="K407">
        <v>6.15</v>
      </c>
      <c r="L407">
        <v>4.74</v>
      </c>
      <c r="M407" s="33">
        <v>0.63870000000000005</v>
      </c>
      <c r="N407" s="33">
        <v>7.0999999999999994E-2</v>
      </c>
      <c r="O407">
        <v>1.86</v>
      </c>
      <c r="P407" s="33">
        <v>0.16239999999999999</v>
      </c>
      <c r="Q407" s="33">
        <v>0.1229</v>
      </c>
      <c r="R407" s="34">
        <v>60977600</v>
      </c>
      <c r="S407" s="34">
        <v>2488240000</v>
      </c>
      <c r="T407">
        <v>6.58</v>
      </c>
      <c r="U407" s="33">
        <v>0.27750000000000002</v>
      </c>
    </row>
    <row r="408" spans="1:21" x14ac:dyDescent="0.25">
      <c r="A408" t="s">
        <v>116</v>
      </c>
      <c r="B408">
        <v>21.07</v>
      </c>
      <c r="C408">
        <v>3.81</v>
      </c>
      <c r="D408">
        <v>1.1499999999999999</v>
      </c>
      <c r="E408">
        <v>0.13300000000000001</v>
      </c>
      <c r="F408" s="33">
        <v>8.4599999999999995E-2</v>
      </c>
      <c r="G408">
        <v>0.379</v>
      </c>
      <c r="H408">
        <v>1.87</v>
      </c>
      <c r="I408">
        <v>5.18</v>
      </c>
      <c r="J408">
        <v>-1.54</v>
      </c>
      <c r="K408">
        <v>9.77</v>
      </c>
      <c r="L408">
        <v>8.5500000000000007</v>
      </c>
      <c r="M408" s="33">
        <v>2.5600000000000001E-2</v>
      </c>
      <c r="N408" s="33">
        <v>3.4799999999999998E-2</v>
      </c>
      <c r="O408">
        <v>1.94</v>
      </c>
      <c r="P408" s="33">
        <v>8.4500000000000006E-2</v>
      </c>
      <c r="Q408" s="33">
        <v>0.30130000000000001</v>
      </c>
      <c r="R408" s="34">
        <v>185407000</v>
      </c>
      <c r="S408" s="34">
        <v>20557000000</v>
      </c>
      <c r="T408">
        <v>1.28</v>
      </c>
      <c r="U408" s="33">
        <v>0.1709</v>
      </c>
    </row>
    <row r="409" spans="1:21" x14ac:dyDescent="0.25">
      <c r="A409" t="s">
        <v>220</v>
      </c>
      <c r="B409">
        <v>4.49</v>
      </c>
      <c r="C409">
        <v>9.27</v>
      </c>
      <c r="D409">
        <v>1.07</v>
      </c>
      <c r="E409">
        <v>0.84099999999999997</v>
      </c>
      <c r="F409" s="33">
        <v>3.7699999999999997E-2</v>
      </c>
      <c r="G409">
        <v>0.68500000000000005</v>
      </c>
      <c r="H409">
        <v>1.74</v>
      </c>
      <c r="I409">
        <v>8.01</v>
      </c>
      <c r="J409">
        <v>2.5499999999999998</v>
      </c>
      <c r="K409">
        <v>10.98</v>
      </c>
      <c r="L409">
        <v>8.68</v>
      </c>
      <c r="M409" s="33">
        <v>0.105</v>
      </c>
      <c r="N409" s="33">
        <v>9.0399999999999994E-2</v>
      </c>
      <c r="O409">
        <v>2.67</v>
      </c>
      <c r="P409" s="33">
        <v>8.9099999999999999E-2</v>
      </c>
      <c r="Q409" s="33">
        <v>0.1159</v>
      </c>
      <c r="R409" s="34">
        <v>1260030</v>
      </c>
      <c r="S409" s="34">
        <v>628625000</v>
      </c>
      <c r="T409">
        <v>0.43</v>
      </c>
      <c r="U409" s="33">
        <v>5.5399999999999998E-2</v>
      </c>
    </row>
    <row r="410" spans="1:21" x14ac:dyDescent="0.25">
      <c r="A410" t="s">
        <v>142</v>
      </c>
      <c r="B410">
        <v>24.36</v>
      </c>
      <c r="C410">
        <v>7.85</v>
      </c>
      <c r="D410">
        <v>2.2000000000000002</v>
      </c>
      <c r="E410">
        <v>2.1549999999999998</v>
      </c>
      <c r="F410" s="33">
        <v>2.7099999999999999E-2</v>
      </c>
      <c r="G410">
        <v>1.361</v>
      </c>
      <c r="H410">
        <v>3.03</v>
      </c>
      <c r="I410">
        <v>8.81</v>
      </c>
      <c r="J410">
        <v>5.59</v>
      </c>
      <c r="K410">
        <v>9.26</v>
      </c>
      <c r="L410">
        <v>7.49</v>
      </c>
      <c r="M410" s="33">
        <v>0.2445</v>
      </c>
      <c r="N410" s="33">
        <v>0.27439999999999998</v>
      </c>
      <c r="O410">
        <v>3.54</v>
      </c>
      <c r="P410" s="33">
        <v>0.16789999999999999</v>
      </c>
      <c r="Q410" s="33">
        <v>0.28050000000000003</v>
      </c>
      <c r="R410" s="34">
        <v>89012400</v>
      </c>
      <c r="S410" s="34">
        <v>2611940000</v>
      </c>
      <c r="T410">
        <v>0.18</v>
      </c>
      <c r="U410" s="33">
        <v>0.24540000000000001</v>
      </c>
    </row>
    <row r="411" spans="1:21" x14ac:dyDescent="0.25">
      <c r="A411" t="s">
        <v>254</v>
      </c>
      <c r="B411">
        <v>0.88</v>
      </c>
      <c r="C411">
        <v>-0.76</v>
      </c>
      <c r="D411">
        <v>0.24</v>
      </c>
      <c r="E411">
        <v>0.3</v>
      </c>
      <c r="F411" s="33">
        <v>0</v>
      </c>
      <c r="G411">
        <v>0.121</v>
      </c>
      <c r="H411">
        <v>0.69</v>
      </c>
      <c r="I411">
        <v>13.55</v>
      </c>
      <c r="J411">
        <v>-2.61</v>
      </c>
      <c r="K411">
        <v>13.97</v>
      </c>
      <c r="L411">
        <v>11.97</v>
      </c>
      <c r="M411" s="33">
        <v>2.2100000000000002E-2</v>
      </c>
      <c r="N411" s="33">
        <v>-0.38350000000000001</v>
      </c>
      <c r="O411">
        <v>1.71</v>
      </c>
      <c r="P411" s="33">
        <v>9.7000000000000003E-3</v>
      </c>
      <c r="Q411" s="33">
        <v>-0.312</v>
      </c>
      <c r="R411" s="34">
        <v>67541.399999999994</v>
      </c>
      <c r="S411" s="34">
        <v>142168000</v>
      </c>
      <c r="T411">
        <v>0.15</v>
      </c>
      <c r="U411" s="33">
        <v>0.2097</v>
      </c>
    </row>
    <row r="412" spans="1:21" x14ac:dyDescent="0.25">
      <c r="A412" t="s">
        <v>152</v>
      </c>
      <c r="B412">
        <v>29.79</v>
      </c>
      <c r="C412">
        <v>17.010000000000002</v>
      </c>
      <c r="D412">
        <v>1.43</v>
      </c>
      <c r="E412">
        <v>1.714</v>
      </c>
      <c r="F412" s="33">
        <v>5.4800000000000001E-2</v>
      </c>
      <c r="G412">
        <v>0.76700000000000002</v>
      </c>
      <c r="H412">
        <v>-101.16</v>
      </c>
      <c r="I412">
        <v>11.57</v>
      </c>
      <c r="J412">
        <v>-2.97</v>
      </c>
      <c r="K412">
        <v>13.04</v>
      </c>
      <c r="L412">
        <v>4.7699999999999996</v>
      </c>
      <c r="M412" s="33">
        <v>0.14810000000000001</v>
      </c>
      <c r="N412" s="33">
        <v>0.1009</v>
      </c>
      <c r="O412">
        <v>0.96</v>
      </c>
      <c r="P412" s="33">
        <v>7.7100000000000002E-2</v>
      </c>
      <c r="Q412" s="33">
        <v>8.3900000000000002E-2</v>
      </c>
      <c r="R412" s="34">
        <v>197983000</v>
      </c>
      <c r="S412" s="34">
        <v>68076000000</v>
      </c>
      <c r="T412">
        <v>0.3</v>
      </c>
      <c r="U412" s="33">
        <v>7.4499999999999997E-2</v>
      </c>
    </row>
    <row r="413" spans="1:21" x14ac:dyDescent="0.25">
      <c r="A413" t="s">
        <v>59</v>
      </c>
      <c r="B413">
        <v>25.39</v>
      </c>
      <c r="C413">
        <v>6.78</v>
      </c>
      <c r="D413">
        <v>1.19</v>
      </c>
      <c r="E413">
        <v>0.95</v>
      </c>
      <c r="F413" s="33">
        <v>0.1065</v>
      </c>
      <c r="G413">
        <v>0.70499999999999996</v>
      </c>
      <c r="H413">
        <v>2.12</v>
      </c>
      <c r="I413">
        <v>5.47</v>
      </c>
      <c r="J413">
        <v>6.37</v>
      </c>
      <c r="K413">
        <v>5.35</v>
      </c>
      <c r="L413">
        <v>4.2</v>
      </c>
      <c r="M413" s="33">
        <v>0.17369999999999999</v>
      </c>
      <c r="N413" s="33">
        <v>0.1401</v>
      </c>
      <c r="O413">
        <v>2.83</v>
      </c>
      <c r="P413" s="33">
        <v>0.1787</v>
      </c>
      <c r="Q413" s="33">
        <v>0.17510000000000001</v>
      </c>
      <c r="R413" s="34">
        <v>8598060</v>
      </c>
      <c r="S413" s="34">
        <v>1750530000</v>
      </c>
      <c r="T413">
        <v>0.34</v>
      </c>
      <c r="U413" s="33">
        <v>1.8200000000000001E-2</v>
      </c>
    </row>
    <row r="414" spans="1:21" x14ac:dyDescent="0.25">
      <c r="A414" t="s">
        <v>261</v>
      </c>
      <c r="B414">
        <v>6.01</v>
      </c>
      <c r="C414">
        <v>-73.3</v>
      </c>
      <c r="D414">
        <v>0.67</v>
      </c>
      <c r="E414">
        <v>0.60799999999999998</v>
      </c>
      <c r="F414" s="33">
        <v>2.0000000000000001E-4</v>
      </c>
      <c r="G414">
        <v>0.41699999999999998</v>
      </c>
      <c r="H414">
        <v>4.87</v>
      </c>
      <c r="I414">
        <v>16.41</v>
      </c>
      <c r="J414">
        <v>-5.09</v>
      </c>
      <c r="K414">
        <v>23.53</v>
      </c>
      <c r="L414">
        <v>4.5999999999999996</v>
      </c>
      <c r="M414" s="33">
        <v>3.7100000000000001E-2</v>
      </c>
      <c r="N414" s="33">
        <v>-8.3000000000000001E-3</v>
      </c>
      <c r="O414">
        <v>1.41</v>
      </c>
      <c r="P414" s="33">
        <v>2.8400000000000002E-2</v>
      </c>
      <c r="Q414" s="33">
        <v>-9.1000000000000004E-3</v>
      </c>
      <c r="R414" s="34">
        <v>225672</v>
      </c>
      <c r="S414" s="34">
        <v>1029440000</v>
      </c>
      <c r="T414">
        <v>0.33</v>
      </c>
      <c r="U414" s="33">
        <v>0.16880000000000001</v>
      </c>
    </row>
    <row r="415" spans="1:21" x14ac:dyDescent="0.25">
      <c r="A415" t="s">
        <v>464</v>
      </c>
      <c r="B415">
        <v>9.2799999999999994</v>
      </c>
      <c r="C415">
        <v>3.76</v>
      </c>
      <c r="D415">
        <v>0.48</v>
      </c>
      <c r="E415">
        <v>0.56999999999999995</v>
      </c>
      <c r="F415" s="33">
        <v>2.3E-3</v>
      </c>
      <c r="G415">
        <v>0.21</v>
      </c>
      <c r="H415">
        <v>2.4300000000000002</v>
      </c>
      <c r="I415">
        <v>1.68</v>
      </c>
      <c r="J415">
        <v>-0.52</v>
      </c>
      <c r="K415">
        <v>4.18</v>
      </c>
      <c r="L415">
        <v>3.23</v>
      </c>
      <c r="M415" s="33">
        <v>0.33910000000000001</v>
      </c>
      <c r="N415" s="33">
        <v>0.1515</v>
      </c>
      <c r="O415">
        <v>2.15</v>
      </c>
      <c r="P415" s="33">
        <v>0.14149999999999999</v>
      </c>
      <c r="Q415" s="33">
        <v>0.1268</v>
      </c>
      <c r="R415" s="34">
        <v>7294960</v>
      </c>
      <c r="S415" s="34">
        <v>2608610000</v>
      </c>
      <c r="T415">
        <v>0.93</v>
      </c>
      <c r="U415" s="33">
        <v>0.1741</v>
      </c>
    </row>
    <row r="416" spans="1:21" x14ac:dyDescent="0.25">
      <c r="A416" t="s">
        <v>190</v>
      </c>
      <c r="B416">
        <v>19.5</v>
      </c>
      <c r="C416">
        <v>9.15</v>
      </c>
      <c r="D416">
        <v>2.44</v>
      </c>
      <c r="E416">
        <v>1.704</v>
      </c>
      <c r="F416" s="33">
        <v>7.0300000000000001E-2</v>
      </c>
      <c r="G416">
        <v>1.8320000000000001</v>
      </c>
      <c r="H416">
        <v>3.58</v>
      </c>
      <c r="I416">
        <v>9.6</v>
      </c>
      <c r="J416">
        <v>4.0599999999999996</v>
      </c>
      <c r="K416">
        <v>9.6199999999999992</v>
      </c>
      <c r="L416">
        <v>8.02</v>
      </c>
      <c r="M416" s="33">
        <v>0.17749999999999999</v>
      </c>
      <c r="N416" s="33">
        <v>0.18629999999999999</v>
      </c>
      <c r="O416">
        <v>3.74</v>
      </c>
      <c r="P416" s="33">
        <v>0.22</v>
      </c>
      <c r="Q416" s="33">
        <v>0.26619999999999999</v>
      </c>
      <c r="R416" s="34">
        <v>15244800</v>
      </c>
      <c r="S416" s="34">
        <v>2205960000</v>
      </c>
      <c r="T416">
        <v>0.12</v>
      </c>
      <c r="U416" s="33">
        <v>0.24379999999999999</v>
      </c>
    </row>
    <row r="417" spans="1:21" x14ac:dyDescent="0.25">
      <c r="A417" t="s">
        <v>222</v>
      </c>
      <c r="B417">
        <v>1.2</v>
      </c>
      <c r="C417">
        <v>-0.26</v>
      </c>
      <c r="D417">
        <v>0.21</v>
      </c>
      <c r="E417">
        <v>3.4000000000000002E-2</v>
      </c>
      <c r="F417" s="33">
        <v>0</v>
      </c>
      <c r="G417">
        <v>4.1000000000000002E-2</v>
      </c>
      <c r="H417">
        <v>0.16</v>
      </c>
      <c r="I417">
        <v>-2.54</v>
      </c>
      <c r="J417">
        <v>-0.17</v>
      </c>
      <c r="K417">
        <v>-21.51</v>
      </c>
      <c r="L417">
        <v>19.89</v>
      </c>
      <c r="M417" s="33">
        <v>-1.3299999999999999E-2</v>
      </c>
      <c r="N417" s="33">
        <v>-0.1295</v>
      </c>
      <c r="O417">
        <v>1.85</v>
      </c>
      <c r="P417" s="33">
        <v>-2.3E-2</v>
      </c>
      <c r="Q417" s="33">
        <v>-0.79069999999999996</v>
      </c>
      <c r="R417" s="34">
        <v>1941590</v>
      </c>
      <c r="S417" s="34">
        <v>1868630000</v>
      </c>
      <c r="T417">
        <v>2.02</v>
      </c>
      <c r="U417" s="33">
        <v>0.1948</v>
      </c>
    </row>
    <row r="418" spans="1:21" x14ac:dyDescent="0.25">
      <c r="A418" t="s">
        <v>77</v>
      </c>
      <c r="B418">
        <v>42.39</v>
      </c>
      <c r="C418">
        <v>28.42</v>
      </c>
      <c r="D418">
        <v>8.36</v>
      </c>
      <c r="E418">
        <v>4.4450000000000003</v>
      </c>
      <c r="F418" s="33">
        <v>1.8499999999999999E-2</v>
      </c>
      <c r="G418">
        <v>4.5250000000000004</v>
      </c>
      <c r="H418">
        <v>17.100000000000001</v>
      </c>
      <c r="I418">
        <v>20.11</v>
      </c>
      <c r="J418">
        <v>22.17</v>
      </c>
      <c r="K418">
        <v>19.829999999999998</v>
      </c>
      <c r="L418">
        <v>18.05</v>
      </c>
      <c r="M418" s="33">
        <v>0.22109999999999999</v>
      </c>
      <c r="N418" s="33">
        <v>0.1643</v>
      </c>
      <c r="O418">
        <v>1.71</v>
      </c>
      <c r="P418" s="33">
        <v>0.29210000000000003</v>
      </c>
      <c r="Q418" s="33">
        <v>0.29420000000000002</v>
      </c>
      <c r="R418" s="34">
        <v>370688000</v>
      </c>
      <c r="S418" s="34">
        <v>21281600000</v>
      </c>
      <c r="T418">
        <v>0.15</v>
      </c>
      <c r="U418" s="33">
        <v>0.19350000000000001</v>
      </c>
    </row>
    <row r="419" spans="1:21" x14ac:dyDescent="0.25">
      <c r="A419" t="s">
        <v>84</v>
      </c>
      <c r="B419">
        <v>4.25</v>
      </c>
      <c r="C419">
        <v>-2.41</v>
      </c>
      <c r="D419">
        <v>0.21</v>
      </c>
      <c r="E419">
        <v>0.29399999999999998</v>
      </c>
      <c r="F419" s="33">
        <v>0</v>
      </c>
      <c r="G419">
        <v>0.158</v>
      </c>
      <c r="H419">
        <v>0.42</v>
      </c>
      <c r="I419">
        <v>-1.08</v>
      </c>
      <c r="J419">
        <v>0.5</v>
      </c>
      <c r="K419">
        <v>1.22</v>
      </c>
      <c r="L419">
        <v>2.0299999999999998</v>
      </c>
      <c r="M419" s="33">
        <v>-0.27200000000000002</v>
      </c>
      <c r="N419" s="33">
        <v>-0.12230000000000001</v>
      </c>
      <c r="O419">
        <v>2.91</v>
      </c>
      <c r="P419" s="33">
        <v>-0.2752</v>
      </c>
      <c r="Q419" s="33">
        <v>-8.8599999999999998E-2</v>
      </c>
      <c r="R419" s="34">
        <v>37329.300000000003</v>
      </c>
      <c r="S419" s="34">
        <v>221569000</v>
      </c>
      <c r="T419">
        <v>0.05</v>
      </c>
      <c r="U419" s="33">
        <v>-0.12529999999999999</v>
      </c>
    </row>
    <row r="420" spans="1:21" x14ac:dyDescent="0.25">
      <c r="A420" t="s">
        <v>465</v>
      </c>
      <c r="B420">
        <v>4.54</v>
      </c>
      <c r="C420">
        <v>7.62</v>
      </c>
      <c r="D420">
        <v>2.4900000000000002</v>
      </c>
      <c r="E420">
        <v>0.51800000000000002</v>
      </c>
      <c r="F420" s="33">
        <v>0.15820000000000001</v>
      </c>
      <c r="G420">
        <v>0.67900000000000005</v>
      </c>
      <c r="H420">
        <v>16.09</v>
      </c>
      <c r="I420">
        <v>5.89</v>
      </c>
      <c r="J420">
        <v>-17.75</v>
      </c>
      <c r="K420">
        <v>4.37</v>
      </c>
      <c r="L420">
        <v>3.58</v>
      </c>
      <c r="M420" s="33">
        <v>8.7900000000000006E-2</v>
      </c>
      <c r="N420" s="33">
        <v>6.8099999999999994E-2</v>
      </c>
      <c r="O420">
        <v>1.07</v>
      </c>
      <c r="P420" s="33">
        <v>0.38919999999999999</v>
      </c>
      <c r="Q420" s="33">
        <v>0.32669999999999999</v>
      </c>
      <c r="R420" s="34">
        <v>25911.8</v>
      </c>
      <c r="S420" s="34">
        <v>2738890000</v>
      </c>
      <c r="T420">
        <v>0.41</v>
      </c>
      <c r="U420" s="33">
        <v>5.9700000000000003E-2</v>
      </c>
    </row>
    <row r="421" spans="1:21" x14ac:dyDescent="0.25">
      <c r="A421" t="s">
        <v>13</v>
      </c>
      <c r="B421">
        <v>4.95</v>
      </c>
      <c r="C421">
        <v>8.31</v>
      </c>
      <c r="D421">
        <v>2.72</v>
      </c>
      <c r="E421">
        <v>0.56499999999999995</v>
      </c>
      <c r="F421" s="33">
        <v>0.15959999999999999</v>
      </c>
      <c r="G421">
        <v>0.74</v>
      </c>
      <c r="H421">
        <v>17.54</v>
      </c>
      <c r="I421">
        <v>6.43</v>
      </c>
      <c r="J421">
        <v>-19.350000000000001</v>
      </c>
      <c r="K421">
        <v>4.9000000000000004</v>
      </c>
      <c r="L421">
        <v>4.0199999999999996</v>
      </c>
      <c r="M421" s="33">
        <v>8.7900000000000006E-2</v>
      </c>
      <c r="N421" s="33">
        <v>6.8099999999999994E-2</v>
      </c>
      <c r="O421">
        <v>1.07</v>
      </c>
      <c r="P421" s="33">
        <v>0.38919999999999999</v>
      </c>
      <c r="Q421" s="33">
        <v>0.32669999999999999</v>
      </c>
      <c r="R421" s="34">
        <v>50759.8</v>
      </c>
      <c r="S421" s="34">
        <v>2738890000</v>
      </c>
      <c r="T421">
        <v>0.41</v>
      </c>
      <c r="U421" s="33">
        <v>5.9700000000000003E-2</v>
      </c>
    </row>
    <row r="422" spans="1:21" x14ac:dyDescent="0.25">
      <c r="A422" t="s">
        <v>119</v>
      </c>
      <c r="B422">
        <v>7.65</v>
      </c>
      <c r="C422">
        <v>7.23</v>
      </c>
      <c r="D422">
        <v>2.06</v>
      </c>
      <c r="E422">
        <v>0.93700000000000006</v>
      </c>
      <c r="F422" s="33">
        <v>3.27E-2</v>
      </c>
      <c r="G422">
        <v>0.47799999999999998</v>
      </c>
      <c r="H422">
        <v>51.95</v>
      </c>
      <c r="I422">
        <v>1.88</v>
      </c>
      <c r="J422">
        <v>-1.7</v>
      </c>
      <c r="K422">
        <v>1.82</v>
      </c>
      <c r="L422">
        <v>1.55</v>
      </c>
      <c r="M422" s="33">
        <v>0.49940000000000001</v>
      </c>
      <c r="N422" s="33">
        <v>0.2402</v>
      </c>
      <c r="O422">
        <v>1.04</v>
      </c>
      <c r="P422" s="33">
        <v>0.33579999999999999</v>
      </c>
      <c r="Q422" s="33">
        <v>0.28539999999999999</v>
      </c>
      <c r="R422" s="34">
        <v>3086210</v>
      </c>
      <c r="S422" s="34">
        <v>593034000</v>
      </c>
      <c r="T422">
        <v>0.68</v>
      </c>
      <c r="U422" s="33">
        <v>0.12720000000000001</v>
      </c>
    </row>
    <row r="423" spans="1:21" x14ac:dyDescent="0.25">
      <c r="A423" t="s">
        <v>466</v>
      </c>
      <c r="B423">
        <v>24.25</v>
      </c>
      <c r="C423">
        <v>7.08</v>
      </c>
      <c r="D423">
        <v>1.1100000000000001</v>
      </c>
      <c r="E423">
        <v>0.28899999999999998</v>
      </c>
      <c r="F423" s="33">
        <v>6.0499999999999998E-2</v>
      </c>
      <c r="G423">
        <v>0.61899999999999999</v>
      </c>
      <c r="H423">
        <v>1.81</v>
      </c>
      <c r="I423">
        <v>5.04</v>
      </c>
      <c r="J423">
        <v>4.13</v>
      </c>
      <c r="K423">
        <v>6.97</v>
      </c>
      <c r="L423">
        <v>6.73</v>
      </c>
      <c r="M423" s="33">
        <v>5.7299999999999997E-2</v>
      </c>
      <c r="N423" s="33">
        <v>4.0800000000000003E-2</v>
      </c>
      <c r="O423">
        <v>2.36</v>
      </c>
      <c r="P423" s="33">
        <v>0.1381</v>
      </c>
      <c r="Q423" s="33">
        <v>0.15690000000000001</v>
      </c>
      <c r="R423" s="34">
        <v>789.76</v>
      </c>
      <c r="S423" s="34">
        <v>794718000</v>
      </c>
      <c r="T423">
        <v>0.53</v>
      </c>
      <c r="U423" s="33">
        <v>0.26329999999999998</v>
      </c>
    </row>
    <row r="424" spans="1:21" x14ac:dyDescent="0.25">
      <c r="A424" t="s">
        <v>467</v>
      </c>
      <c r="B424">
        <v>26.62</v>
      </c>
      <c r="C424">
        <v>7.77</v>
      </c>
      <c r="D424">
        <v>1.22</v>
      </c>
      <c r="E424">
        <v>0.317</v>
      </c>
      <c r="F424" s="33">
        <v>6.0600000000000001E-2</v>
      </c>
      <c r="G424">
        <v>0.68</v>
      </c>
      <c r="H424">
        <v>1.99</v>
      </c>
      <c r="I424">
        <v>5.54</v>
      </c>
      <c r="J424">
        <v>4.53</v>
      </c>
      <c r="K424" s="34">
        <v>7.46</v>
      </c>
      <c r="L424">
        <v>7.2</v>
      </c>
      <c r="M424" s="33">
        <v>5.7299999999999997E-2</v>
      </c>
      <c r="N424" s="33">
        <v>4.0800000000000003E-2</v>
      </c>
      <c r="O424">
        <v>2.36</v>
      </c>
      <c r="P424" s="33">
        <v>0.1381</v>
      </c>
      <c r="Q424" s="33">
        <v>0.15690000000000001</v>
      </c>
      <c r="R424" s="34">
        <v>29155.599999999999</v>
      </c>
      <c r="S424" s="34">
        <v>794718000</v>
      </c>
      <c r="T424">
        <v>0.53</v>
      </c>
      <c r="U424" s="33">
        <v>0.26329999999999998</v>
      </c>
    </row>
    <row r="425" spans="1:21" x14ac:dyDescent="0.25">
      <c r="A425" t="s">
        <v>206</v>
      </c>
      <c r="B425">
        <v>16.53</v>
      </c>
      <c r="C425" s="34">
        <v>14.18</v>
      </c>
      <c r="D425">
        <v>1.46</v>
      </c>
      <c r="E425">
        <v>0.84299999999999997</v>
      </c>
      <c r="F425" s="33">
        <v>3.4500000000000003E-2</v>
      </c>
      <c r="G425">
        <v>0.46100000000000002</v>
      </c>
      <c r="H425">
        <v>7.09</v>
      </c>
      <c r="I425">
        <v>5.2</v>
      </c>
      <c r="J425">
        <v>-1.05</v>
      </c>
      <c r="K425">
        <v>10.3</v>
      </c>
      <c r="L425">
        <v>5.3</v>
      </c>
      <c r="M425" s="33">
        <v>0.16200000000000001</v>
      </c>
      <c r="N425" s="33">
        <v>5.9400000000000001E-2</v>
      </c>
      <c r="O425">
        <v>1.36</v>
      </c>
      <c r="P425" s="33">
        <v>0.1003</v>
      </c>
      <c r="Q425" s="33">
        <v>0.10290000000000001</v>
      </c>
      <c r="R425" s="34">
        <v>78442500</v>
      </c>
      <c r="S425" s="34">
        <v>3103980000</v>
      </c>
      <c r="T425">
        <v>1.73</v>
      </c>
      <c r="U425" s="33">
        <v>7.7600000000000002E-2</v>
      </c>
    </row>
    <row r="426" spans="1:21" x14ac:dyDescent="0.25">
      <c r="A426" t="s">
        <v>243</v>
      </c>
      <c r="B426">
        <v>3.47</v>
      </c>
      <c r="C426" s="34">
        <v>-9.8000000000000007</v>
      </c>
      <c r="D426">
        <v>0.93</v>
      </c>
      <c r="E426">
        <v>0.30099999999999999</v>
      </c>
      <c r="F426" s="33">
        <v>0</v>
      </c>
      <c r="G426">
        <v>0.32500000000000001</v>
      </c>
      <c r="H426">
        <v>11.64</v>
      </c>
      <c r="I426">
        <v>-900.83</v>
      </c>
      <c r="J426">
        <v>-0.78</v>
      </c>
      <c r="K426" s="34">
        <v>-1375.18</v>
      </c>
      <c r="L426">
        <v>4.38</v>
      </c>
      <c r="M426" s="33">
        <v>-2.9999999999999997E-4</v>
      </c>
      <c r="N426" s="33">
        <v>-3.0700000000000002E-2</v>
      </c>
      <c r="O426">
        <v>1.1399999999999999</v>
      </c>
      <c r="P426" s="33">
        <v>-4.0000000000000002E-4</v>
      </c>
      <c r="Q426" s="33">
        <v>-9.4799999999999995E-2</v>
      </c>
      <c r="R426" s="34">
        <v>3743480</v>
      </c>
      <c r="S426" s="34">
        <v>1519080000</v>
      </c>
      <c r="T426">
        <v>0.74</v>
      </c>
      <c r="U426" s="33">
        <v>0.2024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O8"/>
  <sheetViews>
    <sheetView workbookViewId="0">
      <selection activeCell="L11" sqref="L11"/>
    </sheetView>
  </sheetViews>
  <sheetFormatPr defaultRowHeight="15" x14ac:dyDescent="0.25"/>
  <cols>
    <col min="1" max="1" width="15.140625" customWidth="1"/>
    <col min="2" max="6" width="11.7109375" hidden="1" customWidth="1"/>
    <col min="7" max="7" width="14.42578125" hidden="1" customWidth="1"/>
    <col min="8" max="8" width="12.85546875" hidden="1" customWidth="1"/>
    <col min="9" max="9" width="12.5703125" hidden="1" customWidth="1"/>
    <col min="10" max="15" width="12.7109375" bestFit="1" customWidth="1"/>
  </cols>
  <sheetData>
    <row r="1" spans="1:15" x14ac:dyDescent="0.25">
      <c r="B1" s="26">
        <v>45793</v>
      </c>
      <c r="C1" s="26">
        <v>45794</v>
      </c>
      <c r="D1" s="26">
        <v>45796</v>
      </c>
      <c r="E1" s="26">
        <v>45797</v>
      </c>
      <c r="F1" s="26">
        <v>45798</v>
      </c>
      <c r="G1" s="26">
        <v>45800</v>
      </c>
      <c r="H1" s="26">
        <v>45807</v>
      </c>
      <c r="I1" s="26">
        <v>45814</v>
      </c>
      <c r="J1" s="78">
        <v>45820</v>
      </c>
      <c r="K1" s="78">
        <v>45821</v>
      </c>
      <c r="L1" s="78">
        <v>45828</v>
      </c>
    </row>
    <row r="2" spans="1:15" x14ac:dyDescent="0.25">
      <c r="A2" s="35" t="s">
        <v>509</v>
      </c>
      <c r="B2" s="27">
        <v>0</v>
      </c>
      <c r="C2" s="27">
        <v>0</v>
      </c>
      <c r="D2" s="27">
        <v>0</v>
      </c>
      <c r="E2" s="27">
        <v>0</v>
      </c>
      <c r="F2" s="27">
        <v>0</v>
      </c>
      <c r="G2" s="27">
        <v>0</v>
      </c>
      <c r="H2" s="27">
        <v>0</v>
      </c>
      <c r="I2" s="27">
        <v>0</v>
      </c>
      <c r="J2" s="27">
        <v>270772.78999999998</v>
      </c>
      <c r="K2" s="27">
        <v>269699.55</v>
      </c>
      <c r="L2" s="27">
        <v>272267.69</v>
      </c>
      <c r="M2" s="27">
        <v>271392.8</v>
      </c>
      <c r="N2" s="27">
        <v>271529</v>
      </c>
      <c r="O2" s="27">
        <v>271887.56</v>
      </c>
    </row>
    <row r="3" spans="1:15" x14ac:dyDescent="0.25">
      <c r="A3" s="35" t="s">
        <v>508</v>
      </c>
      <c r="B3" s="27">
        <v>0</v>
      </c>
      <c r="C3" s="27">
        <v>0</v>
      </c>
      <c r="D3" s="27">
        <v>0</v>
      </c>
      <c r="E3" s="27">
        <v>0</v>
      </c>
      <c r="F3" s="27">
        <v>0</v>
      </c>
      <c r="G3" s="27">
        <v>0</v>
      </c>
      <c r="H3" s="27">
        <v>0</v>
      </c>
      <c r="I3" s="27">
        <v>0</v>
      </c>
      <c r="J3" s="27">
        <v>11996.49</v>
      </c>
      <c r="K3" s="27">
        <v>12001.51</v>
      </c>
      <c r="L3" s="27">
        <v>12012</v>
      </c>
      <c r="M3" s="27">
        <v>22250.32</v>
      </c>
      <c r="N3" s="27">
        <v>22267.46</v>
      </c>
      <c r="O3" s="27">
        <v>22291.94</v>
      </c>
    </row>
    <row r="4" spans="1:15" x14ac:dyDescent="0.25">
      <c r="A4" s="35" t="s">
        <v>287</v>
      </c>
      <c r="B4" s="27">
        <v>12592</v>
      </c>
      <c r="C4" s="27">
        <v>8535</v>
      </c>
      <c r="D4" s="27">
        <v>8538.39</v>
      </c>
      <c r="E4" s="27">
        <v>8542.33</v>
      </c>
      <c r="F4" s="27">
        <v>18111.27</v>
      </c>
      <c r="G4" s="27">
        <v>19433.509999999998</v>
      </c>
      <c r="H4" s="27">
        <v>16565.099999999999</v>
      </c>
      <c r="I4" s="27">
        <v>15411.17</v>
      </c>
      <c r="J4" s="27">
        <v>13472.7</v>
      </c>
      <c r="K4" s="27">
        <v>13252.75</v>
      </c>
      <c r="L4" s="27">
        <v>8318.1</v>
      </c>
      <c r="M4" s="27">
        <v>8198.8700000000008</v>
      </c>
      <c r="N4" s="27">
        <v>2130.6999999999998</v>
      </c>
      <c r="O4" s="27">
        <v>2065.8000000000002</v>
      </c>
    </row>
    <row r="5" spans="1:15" x14ac:dyDescent="0.25">
      <c r="A5" s="35" t="s">
        <v>286</v>
      </c>
      <c r="B5" s="27">
        <v>6749.7000000000007</v>
      </c>
      <c r="C5" s="27">
        <v>10815.06</v>
      </c>
      <c r="D5" s="27">
        <v>10811.619999999999</v>
      </c>
      <c r="E5" s="27">
        <v>10802.310000000001</v>
      </c>
      <c r="F5" s="27">
        <v>1196.8900000000001</v>
      </c>
      <c r="G5" s="27">
        <v>0</v>
      </c>
      <c r="H5" s="27">
        <v>2993.93</v>
      </c>
      <c r="I5" s="27">
        <v>7735</v>
      </c>
      <c r="J5" s="27">
        <v>9852.2900000000009</v>
      </c>
      <c r="K5" s="27">
        <v>9718.76</v>
      </c>
      <c r="L5" s="27">
        <v>9861.99</v>
      </c>
      <c r="M5" s="27">
        <v>9785.98</v>
      </c>
      <c r="N5" s="27">
        <v>1008.5</v>
      </c>
      <c r="O5" s="27">
        <v>979.56</v>
      </c>
    </row>
    <row r="6" spans="1:15" x14ac:dyDescent="0.25">
      <c r="A6" s="35" t="s">
        <v>512</v>
      </c>
      <c r="B6" s="27">
        <v>0</v>
      </c>
      <c r="C6" s="27">
        <v>0</v>
      </c>
      <c r="D6" s="27">
        <v>0</v>
      </c>
      <c r="E6" s="27">
        <v>0</v>
      </c>
      <c r="F6" s="27">
        <v>0</v>
      </c>
      <c r="G6" s="27">
        <v>0</v>
      </c>
      <c r="H6" s="27">
        <v>0</v>
      </c>
      <c r="I6" s="27">
        <v>0</v>
      </c>
      <c r="J6" s="27">
        <v>250</v>
      </c>
      <c r="K6" s="27">
        <v>1364.32</v>
      </c>
      <c r="L6" s="27">
        <v>1682.38</v>
      </c>
      <c r="M6" s="27">
        <v>1700.08</v>
      </c>
      <c r="N6" s="27">
        <v>16330.22</v>
      </c>
      <c r="O6" s="27">
        <v>16428.330000000002</v>
      </c>
    </row>
    <row r="7" spans="1:15" x14ac:dyDescent="0.25">
      <c r="A7" s="35" t="s">
        <v>510</v>
      </c>
      <c r="B7" s="27">
        <v>0</v>
      </c>
      <c r="C7" s="27">
        <v>0</v>
      </c>
      <c r="D7" s="27">
        <v>0</v>
      </c>
      <c r="E7" s="27">
        <v>0</v>
      </c>
      <c r="F7" s="27">
        <v>0</v>
      </c>
      <c r="G7" s="27">
        <v>0</v>
      </c>
      <c r="H7" s="27">
        <v>0</v>
      </c>
      <c r="I7" s="27">
        <v>0</v>
      </c>
      <c r="J7" s="27">
        <v>0</v>
      </c>
      <c r="K7" s="27">
        <v>0</v>
      </c>
      <c r="L7" s="27">
        <v>998.02</v>
      </c>
      <c r="M7" s="27">
        <v>992.61</v>
      </c>
      <c r="N7" s="27">
        <v>1002.51</v>
      </c>
      <c r="O7" s="27">
        <v>1014.94</v>
      </c>
    </row>
    <row r="8" spans="1:15" x14ac:dyDescent="0.25">
      <c r="B8" s="77" t="s">
        <v>511</v>
      </c>
      <c r="C8" s="77" t="s">
        <v>511</v>
      </c>
      <c r="D8" s="77" t="s">
        <v>511</v>
      </c>
      <c r="E8" s="77" t="s">
        <v>511</v>
      </c>
      <c r="F8" s="77" t="s">
        <v>511</v>
      </c>
      <c r="G8" s="77" t="s">
        <v>511</v>
      </c>
      <c r="H8" s="77" t="s">
        <v>511</v>
      </c>
      <c r="I8" s="77" t="s">
        <v>511</v>
      </c>
      <c r="J8" s="105">
        <f t="shared" ref="J8:O8" si="0">SUM(J2:J7)</f>
        <v>306344.26999999996</v>
      </c>
      <c r="K8" s="105">
        <f t="shared" si="0"/>
        <v>306036.89</v>
      </c>
      <c r="L8" s="105">
        <f t="shared" si="0"/>
        <v>305140.18</v>
      </c>
      <c r="M8" s="105">
        <f t="shared" si="0"/>
        <v>314320.65999999997</v>
      </c>
      <c r="N8" s="105">
        <f t="shared" si="0"/>
        <v>314268.39</v>
      </c>
      <c r="O8" s="105">
        <f t="shared" si="0"/>
        <v>314668.13</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BC06-6D54-452C-9A37-52B215E7FC88}">
  <dimension ref="A1:H90"/>
  <sheetViews>
    <sheetView topLeftCell="A13" workbookViewId="0">
      <selection activeCell="I2" sqref="I2"/>
    </sheetView>
  </sheetViews>
  <sheetFormatPr defaultRowHeight="15" x14ac:dyDescent="0.25"/>
  <cols>
    <col min="1" max="1" width="10.7109375" customWidth="1"/>
    <col min="2" max="2" width="9.140625" style="14"/>
    <col min="4" max="4" width="9.140625" style="14"/>
  </cols>
  <sheetData>
    <row r="1" spans="1:8" x14ac:dyDescent="0.25">
      <c r="A1" s="13">
        <v>45786</v>
      </c>
      <c r="B1" s="14">
        <v>800</v>
      </c>
      <c r="C1">
        <f>B1+B2</f>
        <v>800</v>
      </c>
      <c r="E1" s="14">
        <v>0</v>
      </c>
      <c r="F1">
        <f>C1-E1</f>
        <v>800</v>
      </c>
    </row>
    <row r="2" spans="1:8" x14ac:dyDescent="0.25">
      <c r="A2" s="13">
        <v>45787</v>
      </c>
      <c r="B2" s="16"/>
      <c r="C2" s="15">
        <f>C1+B2</f>
        <v>800</v>
      </c>
      <c r="D2" s="16">
        <v>372</v>
      </c>
      <c r="E2" s="16">
        <f>E1+D2</f>
        <v>372</v>
      </c>
      <c r="F2" s="15">
        <f t="shared" ref="F2:F23" si="0">C2-E2</f>
        <v>428</v>
      </c>
      <c r="H2" s="28"/>
    </row>
    <row r="3" spans="1:8" x14ac:dyDescent="0.25">
      <c r="A3" s="13">
        <v>45788</v>
      </c>
      <c r="B3" s="16">
        <v>0</v>
      </c>
      <c r="C3" s="15">
        <f>C2+B3</f>
        <v>800</v>
      </c>
      <c r="D3" s="16"/>
      <c r="E3" s="16">
        <f t="shared" ref="E3:E23" si="1">E2+D3</f>
        <v>372</v>
      </c>
      <c r="F3" s="15">
        <f t="shared" si="0"/>
        <v>428</v>
      </c>
    </row>
    <row r="4" spans="1:8" x14ac:dyDescent="0.25">
      <c r="A4" s="13">
        <v>45789</v>
      </c>
      <c r="B4" s="14">
        <v>140</v>
      </c>
      <c r="C4">
        <f t="shared" ref="C4:C23" si="2">C3+B4</f>
        <v>940</v>
      </c>
      <c r="E4" s="14">
        <f t="shared" si="1"/>
        <v>372</v>
      </c>
      <c r="F4">
        <f t="shared" si="0"/>
        <v>568</v>
      </c>
    </row>
    <row r="5" spans="1:8" x14ac:dyDescent="0.25">
      <c r="A5" s="13">
        <v>45790</v>
      </c>
      <c r="B5" s="14">
        <v>140</v>
      </c>
      <c r="C5">
        <f t="shared" si="2"/>
        <v>1080</v>
      </c>
      <c r="E5" s="14">
        <f t="shared" si="1"/>
        <v>372</v>
      </c>
      <c r="F5">
        <f t="shared" si="0"/>
        <v>708</v>
      </c>
    </row>
    <row r="6" spans="1:8" x14ac:dyDescent="0.25">
      <c r="A6" s="13">
        <v>45791</v>
      </c>
      <c r="B6" s="14">
        <v>140</v>
      </c>
      <c r="C6">
        <f t="shared" si="2"/>
        <v>1220</v>
      </c>
      <c r="D6" s="14">
        <v>755</v>
      </c>
      <c r="E6" s="14">
        <f t="shared" si="1"/>
        <v>1127</v>
      </c>
      <c r="F6">
        <f t="shared" si="0"/>
        <v>93</v>
      </c>
    </row>
    <row r="7" spans="1:8" x14ac:dyDescent="0.25">
      <c r="A7" s="13">
        <v>45792</v>
      </c>
      <c r="B7" s="14">
        <v>140</v>
      </c>
      <c r="C7">
        <f t="shared" si="2"/>
        <v>1360</v>
      </c>
      <c r="E7" s="14">
        <f>E6+D7</f>
        <v>1127</v>
      </c>
      <c r="F7">
        <f t="shared" si="0"/>
        <v>233</v>
      </c>
    </row>
    <row r="8" spans="1:8" x14ac:dyDescent="0.25">
      <c r="A8" s="13">
        <v>45793</v>
      </c>
      <c r="B8" s="14">
        <v>140</v>
      </c>
      <c r="C8">
        <f t="shared" si="2"/>
        <v>1500</v>
      </c>
      <c r="D8" s="14">
        <v>145</v>
      </c>
      <c r="E8" s="14">
        <f>E7+D8</f>
        <v>1272</v>
      </c>
      <c r="F8">
        <f t="shared" si="0"/>
        <v>228</v>
      </c>
    </row>
    <row r="9" spans="1:8" x14ac:dyDescent="0.25">
      <c r="A9" s="13">
        <v>45794</v>
      </c>
      <c r="B9" s="16">
        <v>92</v>
      </c>
      <c r="C9" s="15">
        <f t="shared" si="2"/>
        <v>1592</v>
      </c>
      <c r="D9" s="16">
        <v>92</v>
      </c>
      <c r="E9" s="16">
        <f t="shared" si="1"/>
        <v>1364</v>
      </c>
      <c r="F9" s="15">
        <f t="shared" si="0"/>
        <v>228</v>
      </c>
    </row>
    <row r="10" spans="1:8" x14ac:dyDescent="0.25">
      <c r="A10" s="13">
        <v>45795</v>
      </c>
      <c r="B10" s="16">
        <v>0</v>
      </c>
      <c r="C10" s="15">
        <f t="shared" si="2"/>
        <v>1592</v>
      </c>
      <c r="D10" s="16">
        <v>700</v>
      </c>
      <c r="E10" s="16">
        <f t="shared" si="1"/>
        <v>2064</v>
      </c>
      <c r="F10" s="15">
        <f t="shared" si="0"/>
        <v>-472</v>
      </c>
    </row>
    <row r="11" spans="1:8" x14ac:dyDescent="0.25">
      <c r="A11" s="13">
        <v>45796</v>
      </c>
      <c r="B11" s="14">
        <v>140</v>
      </c>
      <c r="C11">
        <f t="shared" si="2"/>
        <v>1732</v>
      </c>
      <c r="D11" s="14">
        <v>200</v>
      </c>
      <c r="E11" s="14">
        <f t="shared" si="1"/>
        <v>2264</v>
      </c>
      <c r="F11">
        <f t="shared" si="0"/>
        <v>-532</v>
      </c>
    </row>
    <row r="12" spans="1:8" x14ac:dyDescent="0.25">
      <c r="A12" s="13">
        <v>45797</v>
      </c>
      <c r="B12" s="14">
        <v>140</v>
      </c>
      <c r="C12">
        <f t="shared" si="2"/>
        <v>1872</v>
      </c>
      <c r="E12" s="14">
        <f t="shared" si="1"/>
        <v>2264</v>
      </c>
      <c r="F12">
        <f t="shared" si="0"/>
        <v>-392</v>
      </c>
    </row>
    <row r="13" spans="1:8" x14ac:dyDescent="0.25">
      <c r="A13" s="13">
        <v>45798</v>
      </c>
      <c r="B13" s="14">
        <v>140</v>
      </c>
      <c r="C13">
        <f t="shared" si="2"/>
        <v>2012</v>
      </c>
      <c r="E13" s="14">
        <f t="shared" si="1"/>
        <v>2264</v>
      </c>
      <c r="F13">
        <f t="shared" si="0"/>
        <v>-252</v>
      </c>
    </row>
    <row r="14" spans="1:8" x14ac:dyDescent="0.25">
      <c r="A14" s="13">
        <v>45799</v>
      </c>
      <c r="B14" s="14">
        <v>140</v>
      </c>
      <c r="C14">
        <f t="shared" si="2"/>
        <v>2152</v>
      </c>
      <c r="E14" s="14">
        <f t="shared" si="1"/>
        <v>2264</v>
      </c>
      <c r="F14">
        <f t="shared" si="0"/>
        <v>-112</v>
      </c>
    </row>
    <row r="15" spans="1:8" x14ac:dyDescent="0.25">
      <c r="A15" s="13">
        <v>45800</v>
      </c>
      <c r="B15" s="14">
        <v>140</v>
      </c>
      <c r="C15">
        <f t="shared" si="2"/>
        <v>2292</v>
      </c>
      <c r="D15" s="14">
        <v>482</v>
      </c>
      <c r="E15" s="14">
        <f t="shared" si="1"/>
        <v>2746</v>
      </c>
      <c r="F15">
        <f t="shared" si="0"/>
        <v>-454</v>
      </c>
    </row>
    <row r="16" spans="1:8" x14ac:dyDescent="0.25">
      <c r="A16" s="13">
        <v>45801</v>
      </c>
      <c r="B16" s="16">
        <v>0</v>
      </c>
      <c r="C16" s="15">
        <f t="shared" si="2"/>
        <v>2292</v>
      </c>
      <c r="D16" s="16"/>
      <c r="E16" s="16">
        <f t="shared" si="1"/>
        <v>2746</v>
      </c>
      <c r="F16" s="15">
        <f t="shared" si="0"/>
        <v>-454</v>
      </c>
    </row>
    <row r="17" spans="1:6" x14ac:dyDescent="0.25">
      <c r="A17" s="13">
        <v>45802</v>
      </c>
      <c r="B17" s="16">
        <v>0</v>
      </c>
      <c r="C17" s="15">
        <f t="shared" si="2"/>
        <v>2292</v>
      </c>
      <c r="D17" s="30">
        <v>400</v>
      </c>
      <c r="E17" s="16">
        <f t="shared" si="1"/>
        <v>3146</v>
      </c>
      <c r="F17" s="15">
        <f t="shared" si="0"/>
        <v>-854</v>
      </c>
    </row>
    <row r="18" spans="1:6" x14ac:dyDescent="0.25">
      <c r="A18" s="13">
        <v>45803</v>
      </c>
      <c r="B18" s="14">
        <v>140</v>
      </c>
      <c r="C18">
        <f t="shared" si="2"/>
        <v>2432</v>
      </c>
      <c r="E18" s="14">
        <f>E17+D18</f>
        <v>3146</v>
      </c>
      <c r="F18">
        <f t="shared" si="0"/>
        <v>-714</v>
      </c>
    </row>
    <row r="19" spans="1:6" x14ac:dyDescent="0.25">
      <c r="A19" s="13">
        <v>45804</v>
      </c>
      <c r="B19" s="14">
        <v>140</v>
      </c>
      <c r="C19">
        <f t="shared" si="2"/>
        <v>2572</v>
      </c>
      <c r="D19" s="14">
        <v>150</v>
      </c>
      <c r="E19" s="14">
        <f>E18+D19</f>
        <v>3296</v>
      </c>
      <c r="F19">
        <f t="shared" si="0"/>
        <v>-724</v>
      </c>
    </row>
    <row r="20" spans="1:6" x14ac:dyDescent="0.25">
      <c r="A20" s="13">
        <v>45805</v>
      </c>
      <c r="B20" s="14">
        <v>140</v>
      </c>
      <c r="C20">
        <f t="shared" si="2"/>
        <v>2712</v>
      </c>
      <c r="E20" s="14">
        <f t="shared" si="1"/>
        <v>3296</v>
      </c>
      <c r="F20">
        <f t="shared" si="0"/>
        <v>-584</v>
      </c>
    </row>
    <row r="21" spans="1:6" x14ac:dyDescent="0.25">
      <c r="A21" s="13">
        <v>45806</v>
      </c>
      <c r="B21" s="14">
        <v>140</v>
      </c>
      <c r="C21">
        <f t="shared" si="2"/>
        <v>2852</v>
      </c>
      <c r="E21" s="14">
        <f t="shared" si="1"/>
        <v>3296</v>
      </c>
      <c r="F21">
        <f t="shared" si="0"/>
        <v>-444</v>
      </c>
    </row>
    <row r="22" spans="1:6" x14ac:dyDescent="0.25">
      <c r="A22" s="13">
        <v>45807</v>
      </c>
      <c r="B22" s="14">
        <v>140</v>
      </c>
      <c r="C22">
        <f t="shared" si="2"/>
        <v>2992</v>
      </c>
      <c r="E22" s="14">
        <f t="shared" si="1"/>
        <v>3296</v>
      </c>
      <c r="F22">
        <f t="shared" si="0"/>
        <v>-304</v>
      </c>
    </row>
    <row r="23" spans="1:6" x14ac:dyDescent="0.25">
      <c r="A23" s="13">
        <v>45808</v>
      </c>
      <c r="B23" s="16"/>
      <c r="C23" s="15">
        <f t="shared" si="2"/>
        <v>2992</v>
      </c>
      <c r="D23" s="16"/>
      <c r="E23" s="16">
        <f t="shared" si="1"/>
        <v>3296</v>
      </c>
      <c r="F23" s="15">
        <f t="shared" si="0"/>
        <v>-304</v>
      </c>
    </row>
    <row r="24" spans="1:6" x14ac:dyDescent="0.25">
      <c r="A24" s="13">
        <v>45809</v>
      </c>
      <c r="B24" s="16"/>
      <c r="C24" s="15">
        <f t="shared" ref="C24:C29" si="3">C23+B24</f>
        <v>2992</v>
      </c>
      <c r="D24" s="16"/>
      <c r="E24" s="16">
        <f t="shared" ref="E24:E29" si="4">E23+D24</f>
        <v>3296</v>
      </c>
      <c r="F24" s="15">
        <f t="shared" ref="F24:F29" si="5">C24-E24</f>
        <v>-304</v>
      </c>
    </row>
    <row r="25" spans="1:6" x14ac:dyDescent="0.25">
      <c r="A25" s="13">
        <v>45810</v>
      </c>
      <c r="B25" s="14">
        <v>140</v>
      </c>
      <c r="C25">
        <f t="shared" si="3"/>
        <v>3132</v>
      </c>
      <c r="E25" s="14">
        <f t="shared" si="4"/>
        <v>3296</v>
      </c>
      <c r="F25">
        <f t="shared" si="5"/>
        <v>-164</v>
      </c>
    </row>
    <row r="26" spans="1:6" x14ac:dyDescent="0.25">
      <c r="A26" s="13">
        <v>45811</v>
      </c>
      <c r="B26" s="14">
        <v>140</v>
      </c>
      <c r="C26">
        <f t="shared" si="3"/>
        <v>3272</v>
      </c>
      <c r="E26" s="14">
        <f t="shared" si="4"/>
        <v>3296</v>
      </c>
      <c r="F26">
        <f t="shared" si="5"/>
        <v>-24</v>
      </c>
    </row>
    <row r="27" spans="1:6" x14ac:dyDescent="0.25">
      <c r="A27" s="13">
        <v>45812</v>
      </c>
      <c r="B27" s="14">
        <v>140</v>
      </c>
      <c r="C27">
        <f t="shared" si="3"/>
        <v>3412</v>
      </c>
      <c r="E27" s="14">
        <f t="shared" si="4"/>
        <v>3296</v>
      </c>
      <c r="F27">
        <f t="shared" si="5"/>
        <v>116</v>
      </c>
    </row>
    <row r="28" spans="1:6" x14ac:dyDescent="0.25">
      <c r="A28" s="13">
        <v>45813</v>
      </c>
      <c r="B28" s="14">
        <v>140</v>
      </c>
      <c r="C28">
        <f t="shared" si="3"/>
        <v>3552</v>
      </c>
      <c r="E28" s="14">
        <f t="shared" si="4"/>
        <v>3296</v>
      </c>
      <c r="F28">
        <f t="shared" si="5"/>
        <v>256</v>
      </c>
    </row>
    <row r="29" spans="1:6" x14ac:dyDescent="0.25">
      <c r="A29" s="25">
        <v>45814</v>
      </c>
      <c r="B29" s="14">
        <v>140</v>
      </c>
      <c r="C29">
        <f t="shared" si="3"/>
        <v>3692</v>
      </c>
      <c r="E29" s="14">
        <f t="shared" si="4"/>
        <v>3296</v>
      </c>
      <c r="F29">
        <f t="shared" si="5"/>
        <v>396</v>
      </c>
    </row>
    <row r="30" spans="1:6" x14ac:dyDescent="0.25">
      <c r="A30" s="13">
        <v>45815</v>
      </c>
      <c r="B30" s="16">
        <v>100</v>
      </c>
      <c r="C30" s="15">
        <f t="shared" ref="C30:C84" si="6">C29+B30</f>
        <v>3792</v>
      </c>
      <c r="D30" s="16"/>
      <c r="E30" s="16">
        <f t="shared" ref="E30:E84" si="7">E29+D30</f>
        <v>3296</v>
      </c>
      <c r="F30" s="15">
        <f t="shared" ref="F30:F84" si="8">C30-E30</f>
        <v>496</v>
      </c>
    </row>
    <row r="31" spans="1:6" x14ac:dyDescent="0.25">
      <c r="A31" s="13">
        <v>45816</v>
      </c>
      <c r="B31" s="16"/>
      <c r="C31" s="15">
        <f t="shared" si="6"/>
        <v>3792</v>
      </c>
      <c r="D31" s="16"/>
      <c r="E31" s="16">
        <f t="shared" si="7"/>
        <v>3296</v>
      </c>
      <c r="F31" s="15">
        <f t="shared" si="8"/>
        <v>496</v>
      </c>
    </row>
    <row r="32" spans="1:6" x14ac:dyDescent="0.25">
      <c r="A32" s="13">
        <v>45817</v>
      </c>
      <c r="B32" s="14">
        <v>140</v>
      </c>
      <c r="C32">
        <f t="shared" si="6"/>
        <v>3932</v>
      </c>
      <c r="E32" s="14">
        <f t="shared" si="7"/>
        <v>3296</v>
      </c>
      <c r="F32">
        <f t="shared" si="8"/>
        <v>636</v>
      </c>
    </row>
    <row r="33" spans="1:6" x14ac:dyDescent="0.25">
      <c r="A33" s="13">
        <v>45818</v>
      </c>
      <c r="B33" s="14">
        <v>140</v>
      </c>
      <c r="C33">
        <f t="shared" si="6"/>
        <v>4072</v>
      </c>
      <c r="D33" s="14">
        <v>330</v>
      </c>
      <c r="E33" s="14">
        <f t="shared" si="7"/>
        <v>3626</v>
      </c>
      <c r="F33">
        <f t="shared" si="8"/>
        <v>446</v>
      </c>
    </row>
    <row r="34" spans="1:6" x14ac:dyDescent="0.25">
      <c r="A34" s="13">
        <v>45819</v>
      </c>
      <c r="B34" s="14">
        <v>140</v>
      </c>
      <c r="C34">
        <f t="shared" si="6"/>
        <v>4212</v>
      </c>
      <c r="E34" s="14">
        <f t="shared" si="7"/>
        <v>3626</v>
      </c>
      <c r="F34">
        <f t="shared" si="8"/>
        <v>586</v>
      </c>
    </row>
    <row r="35" spans="1:6" x14ac:dyDescent="0.25">
      <c r="A35" s="13">
        <v>45820</v>
      </c>
      <c r="B35" s="14">
        <v>140</v>
      </c>
      <c r="C35">
        <f t="shared" si="6"/>
        <v>4352</v>
      </c>
      <c r="E35" s="14">
        <f t="shared" si="7"/>
        <v>3626</v>
      </c>
      <c r="F35">
        <f t="shared" si="8"/>
        <v>726</v>
      </c>
    </row>
    <row r="36" spans="1:6" x14ac:dyDescent="0.25">
      <c r="A36" s="13">
        <v>45821</v>
      </c>
      <c r="B36" s="14">
        <v>140</v>
      </c>
      <c r="C36">
        <f t="shared" si="6"/>
        <v>4492</v>
      </c>
      <c r="E36" s="14">
        <f t="shared" si="7"/>
        <v>3626</v>
      </c>
      <c r="F36">
        <f t="shared" si="8"/>
        <v>866</v>
      </c>
    </row>
    <row r="37" spans="1:6" x14ac:dyDescent="0.25">
      <c r="A37" s="13">
        <v>45822</v>
      </c>
      <c r="B37" s="16"/>
      <c r="C37" s="15">
        <f t="shared" si="6"/>
        <v>4492</v>
      </c>
      <c r="D37" s="16"/>
      <c r="E37" s="16">
        <f t="shared" si="7"/>
        <v>3626</v>
      </c>
      <c r="F37" s="15">
        <f t="shared" si="8"/>
        <v>866</v>
      </c>
    </row>
    <row r="38" spans="1:6" x14ac:dyDescent="0.25">
      <c r="A38" s="13">
        <v>45823</v>
      </c>
      <c r="B38" s="16"/>
      <c r="C38" s="15">
        <f t="shared" si="6"/>
        <v>4492</v>
      </c>
      <c r="D38" s="16">
        <v>755</v>
      </c>
      <c r="E38" s="16">
        <f t="shared" si="7"/>
        <v>4381</v>
      </c>
      <c r="F38" s="15">
        <f t="shared" si="8"/>
        <v>111</v>
      </c>
    </row>
    <row r="39" spans="1:6" x14ac:dyDescent="0.25">
      <c r="A39" s="13">
        <v>45824</v>
      </c>
      <c r="B39" s="14">
        <v>156</v>
      </c>
      <c r="C39">
        <f t="shared" si="6"/>
        <v>4648</v>
      </c>
      <c r="D39" s="14">
        <v>325</v>
      </c>
      <c r="E39" s="14">
        <f t="shared" si="7"/>
        <v>4706</v>
      </c>
      <c r="F39">
        <f t="shared" si="8"/>
        <v>-58</v>
      </c>
    </row>
    <row r="40" spans="1:6" x14ac:dyDescent="0.25">
      <c r="A40" s="13">
        <v>45825</v>
      </c>
      <c r="B40" s="14">
        <v>157</v>
      </c>
      <c r="C40">
        <f t="shared" si="6"/>
        <v>4805</v>
      </c>
      <c r="D40" s="14">
        <v>100</v>
      </c>
      <c r="E40" s="14">
        <f t="shared" si="7"/>
        <v>4806</v>
      </c>
      <c r="F40">
        <f t="shared" si="8"/>
        <v>-1</v>
      </c>
    </row>
    <row r="41" spans="1:6" x14ac:dyDescent="0.25">
      <c r="A41" s="13">
        <v>45826</v>
      </c>
      <c r="B41" s="14">
        <v>158</v>
      </c>
      <c r="C41">
        <f t="shared" si="6"/>
        <v>4963</v>
      </c>
      <c r="D41" s="14">
        <v>700</v>
      </c>
      <c r="E41" s="14">
        <f t="shared" si="7"/>
        <v>5506</v>
      </c>
      <c r="F41">
        <f t="shared" si="8"/>
        <v>-543</v>
      </c>
    </row>
    <row r="42" spans="1:6" x14ac:dyDescent="0.25">
      <c r="A42" s="13">
        <v>45827</v>
      </c>
      <c r="B42" s="14">
        <v>159</v>
      </c>
      <c r="C42">
        <f t="shared" si="6"/>
        <v>5122</v>
      </c>
      <c r="E42" s="14">
        <f t="shared" si="7"/>
        <v>5506</v>
      </c>
      <c r="F42">
        <f t="shared" si="8"/>
        <v>-384</v>
      </c>
    </row>
    <row r="43" spans="1:6" x14ac:dyDescent="0.25">
      <c r="A43" s="13">
        <v>45828</v>
      </c>
      <c r="B43" s="14">
        <v>160</v>
      </c>
      <c r="C43">
        <f t="shared" si="6"/>
        <v>5282</v>
      </c>
      <c r="E43" s="14">
        <f t="shared" si="7"/>
        <v>5506</v>
      </c>
      <c r="F43">
        <f t="shared" si="8"/>
        <v>-224</v>
      </c>
    </row>
    <row r="44" spans="1:6" x14ac:dyDescent="0.25">
      <c r="A44" s="13">
        <v>45829</v>
      </c>
      <c r="B44" s="16"/>
      <c r="C44" s="15">
        <f t="shared" si="6"/>
        <v>5282</v>
      </c>
      <c r="D44" s="16"/>
      <c r="E44" s="16">
        <f t="shared" si="7"/>
        <v>5506</v>
      </c>
      <c r="F44" s="15">
        <f t="shared" si="8"/>
        <v>-224</v>
      </c>
    </row>
    <row r="45" spans="1:6" x14ac:dyDescent="0.25">
      <c r="A45" s="13">
        <v>45830</v>
      </c>
      <c r="B45" s="16"/>
      <c r="C45" s="15">
        <f t="shared" si="6"/>
        <v>5282</v>
      </c>
      <c r="D45" s="16"/>
      <c r="E45" s="16">
        <f t="shared" si="7"/>
        <v>5506</v>
      </c>
      <c r="F45" s="15">
        <f t="shared" si="8"/>
        <v>-224</v>
      </c>
    </row>
    <row r="46" spans="1:6" x14ac:dyDescent="0.25">
      <c r="A46" s="13">
        <v>45831</v>
      </c>
      <c r="B46" s="14">
        <v>163</v>
      </c>
      <c r="C46">
        <f t="shared" si="6"/>
        <v>5445</v>
      </c>
      <c r="E46" s="14">
        <f t="shared" si="7"/>
        <v>5506</v>
      </c>
      <c r="F46">
        <f t="shared" si="8"/>
        <v>-61</v>
      </c>
    </row>
    <row r="47" spans="1:6" x14ac:dyDescent="0.25">
      <c r="A47" s="13">
        <v>45832</v>
      </c>
      <c r="B47" s="14">
        <v>164</v>
      </c>
      <c r="C47">
        <f t="shared" si="6"/>
        <v>5609</v>
      </c>
      <c r="D47" s="14">
        <v>150</v>
      </c>
      <c r="E47" s="14">
        <f t="shared" si="7"/>
        <v>5656</v>
      </c>
      <c r="F47">
        <f t="shared" si="8"/>
        <v>-47</v>
      </c>
    </row>
    <row r="48" spans="1:6" x14ac:dyDescent="0.25">
      <c r="A48" s="13">
        <v>45833</v>
      </c>
      <c r="B48" s="14">
        <v>165</v>
      </c>
      <c r="C48">
        <f t="shared" si="6"/>
        <v>5774</v>
      </c>
      <c r="D48" s="14">
        <v>482</v>
      </c>
      <c r="E48" s="14">
        <f t="shared" si="7"/>
        <v>6138</v>
      </c>
      <c r="F48">
        <f t="shared" si="8"/>
        <v>-364</v>
      </c>
    </row>
    <row r="49" spans="1:6" x14ac:dyDescent="0.25">
      <c r="A49" s="13">
        <v>45834</v>
      </c>
      <c r="B49" s="14">
        <v>166</v>
      </c>
      <c r="C49">
        <f t="shared" si="6"/>
        <v>5940</v>
      </c>
      <c r="E49" s="14">
        <f t="shared" si="7"/>
        <v>6138</v>
      </c>
      <c r="F49">
        <f t="shared" si="8"/>
        <v>-198</v>
      </c>
    </row>
    <row r="50" spans="1:6" x14ac:dyDescent="0.25">
      <c r="A50" s="13">
        <v>45835</v>
      </c>
      <c r="B50" s="14">
        <v>167</v>
      </c>
      <c r="C50">
        <f t="shared" si="6"/>
        <v>6107</v>
      </c>
      <c r="E50" s="14">
        <f t="shared" si="7"/>
        <v>6138</v>
      </c>
      <c r="F50">
        <f t="shared" si="8"/>
        <v>-31</v>
      </c>
    </row>
    <row r="51" spans="1:6" x14ac:dyDescent="0.25">
      <c r="A51" s="13">
        <v>45836</v>
      </c>
      <c r="B51" s="16"/>
      <c r="C51" s="15">
        <f t="shared" si="6"/>
        <v>6107</v>
      </c>
      <c r="D51" s="16"/>
      <c r="E51" s="16">
        <f t="shared" si="7"/>
        <v>6138</v>
      </c>
      <c r="F51" s="15">
        <f t="shared" si="8"/>
        <v>-31</v>
      </c>
    </row>
    <row r="52" spans="1:6" x14ac:dyDescent="0.25">
      <c r="A52" s="13">
        <v>45837</v>
      </c>
      <c r="B52" s="16"/>
      <c r="C52" s="15">
        <f t="shared" si="6"/>
        <v>6107</v>
      </c>
      <c r="D52" s="16"/>
      <c r="E52" s="16">
        <f t="shared" si="7"/>
        <v>6138</v>
      </c>
      <c r="F52" s="15">
        <f t="shared" si="8"/>
        <v>-31</v>
      </c>
    </row>
    <row r="53" spans="1:6" x14ac:dyDescent="0.25">
      <c r="A53" s="13">
        <v>45838</v>
      </c>
      <c r="B53" s="14">
        <v>170</v>
      </c>
      <c r="C53">
        <f t="shared" si="6"/>
        <v>6277</v>
      </c>
      <c r="E53" s="14">
        <f t="shared" si="7"/>
        <v>6138</v>
      </c>
      <c r="F53">
        <f t="shared" si="8"/>
        <v>139</v>
      </c>
    </row>
    <row r="54" spans="1:6" x14ac:dyDescent="0.25">
      <c r="A54" s="13">
        <v>45839</v>
      </c>
      <c r="B54" s="14">
        <v>171</v>
      </c>
      <c r="C54">
        <f t="shared" si="6"/>
        <v>6448</v>
      </c>
      <c r="E54" s="14">
        <f t="shared" si="7"/>
        <v>6138</v>
      </c>
      <c r="F54">
        <f t="shared" si="8"/>
        <v>310</v>
      </c>
    </row>
    <row r="55" spans="1:6" x14ac:dyDescent="0.25">
      <c r="A55" s="13">
        <v>45840</v>
      </c>
      <c r="B55" s="14">
        <v>172</v>
      </c>
      <c r="C55">
        <f t="shared" si="6"/>
        <v>6620</v>
      </c>
      <c r="E55" s="14">
        <f t="shared" si="7"/>
        <v>6138</v>
      </c>
      <c r="F55">
        <f t="shared" si="8"/>
        <v>482</v>
      </c>
    </row>
    <row r="56" spans="1:6" x14ac:dyDescent="0.25">
      <c r="A56" s="13">
        <v>45841</v>
      </c>
      <c r="B56" s="14">
        <v>173</v>
      </c>
      <c r="C56">
        <f t="shared" si="6"/>
        <v>6793</v>
      </c>
      <c r="E56" s="14">
        <f t="shared" si="7"/>
        <v>6138</v>
      </c>
      <c r="F56">
        <f t="shared" si="8"/>
        <v>655</v>
      </c>
    </row>
    <row r="57" spans="1:6" x14ac:dyDescent="0.25">
      <c r="A57" s="13">
        <v>45842</v>
      </c>
      <c r="B57" s="14">
        <v>174</v>
      </c>
      <c r="C57">
        <f t="shared" si="6"/>
        <v>6967</v>
      </c>
      <c r="E57" s="14">
        <f t="shared" si="7"/>
        <v>6138</v>
      </c>
      <c r="F57">
        <f t="shared" si="8"/>
        <v>829</v>
      </c>
    </row>
    <row r="58" spans="1:6" x14ac:dyDescent="0.25">
      <c r="A58" s="25">
        <v>45843</v>
      </c>
      <c r="B58" s="16"/>
      <c r="C58" s="15">
        <f t="shared" si="6"/>
        <v>6967</v>
      </c>
      <c r="D58" s="16"/>
      <c r="E58" s="16">
        <f t="shared" si="7"/>
        <v>6138</v>
      </c>
      <c r="F58" s="15">
        <f t="shared" si="8"/>
        <v>829</v>
      </c>
    </row>
    <row r="59" spans="1:6" x14ac:dyDescent="0.25">
      <c r="A59" s="13">
        <v>45844</v>
      </c>
      <c r="B59" s="16"/>
      <c r="C59" s="15">
        <f t="shared" si="6"/>
        <v>6967</v>
      </c>
      <c r="D59" s="16"/>
      <c r="E59" s="16">
        <f t="shared" si="7"/>
        <v>6138</v>
      </c>
      <c r="F59" s="15">
        <f t="shared" si="8"/>
        <v>829</v>
      </c>
    </row>
    <row r="60" spans="1:6" x14ac:dyDescent="0.25">
      <c r="A60" s="13">
        <v>45845</v>
      </c>
      <c r="B60" s="14">
        <v>177</v>
      </c>
      <c r="C60">
        <f t="shared" si="6"/>
        <v>7144</v>
      </c>
      <c r="D60" s="14">
        <v>325</v>
      </c>
      <c r="E60" s="14">
        <f t="shared" si="7"/>
        <v>6463</v>
      </c>
      <c r="F60">
        <f t="shared" si="8"/>
        <v>681</v>
      </c>
    </row>
    <row r="61" spans="1:6" x14ac:dyDescent="0.25">
      <c r="A61" s="13">
        <v>45846</v>
      </c>
      <c r="B61" s="14">
        <v>178</v>
      </c>
      <c r="C61">
        <f t="shared" si="6"/>
        <v>7322</v>
      </c>
      <c r="D61" s="14">
        <v>150</v>
      </c>
      <c r="E61" s="14">
        <f t="shared" si="7"/>
        <v>6613</v>
      </c>
      <c r="F61">
        <f t="shared" si="8"/>
        <v>709</v>
      </c>
    </row>
    <row r="62" spans="1:6" x14ac:dyDescent="0.25">
      <c r="A62" s="13">
        <v>45847</v>
      </c>
      <c r="B62" s="14">
        <v>179</v>
      </c>
      <c r="C62">
        <f t="shared" si="6"/>
        <v>7501</v>
      </c>
      <c r="D62" s="14">
        <v>100</v>
      </c>
      <c r="E62" s="14">
        <f t="shared" si="7"/>
        <v>6713</v>
      </c>
      <c r="F62">
        <f t="shared" si="8"/>
        <v>788</v>
      </c>
    </row>
    <row r="63" spans="1:6" x14ac:dyDescent="0.25">
      <c r="A63" s="13">
        <v>45848</v>
      </c>
      <c r="B63" s="14">
        <v>180</v>
      </c>
      <c r="C63">
        <f t="shared" si="6"/>
        <v>7681</v>
      </c>
      <c r="D63" s="14">
        <v>330</v>
      </c>
      <c r="E63" s="14">
        <f t="shared" si="7"/>
        <v>7043</v>
      </c>
      <c r="F63">
        <f t="shared" si="8"/>
        <v>638</v>
      </c>
    </row>
    <row r="64" spans="1:6" x14ac:dyDescent="0.25">
      <c r="A64" s="13">
        <v>45849</v>
      </c>
      <c r="B64" s="14">
        <v>181</v>
      </c>
      <c r="C64">
        <f t="shared" si="6"/>
        <v>7862</v>
      </c>
      <c r="E64" s="14">
        <f t="shared" si="7"/>
        <v>7043</v>
      </c>
      <c r="F64">
        <f t="shared" si="8"/>
        <v>819</v>
      </c>
    </row>
    <row r="65" spans="1:6" x14ac:dyDescent="0.25">
      <c r="A65" s="13">
        <v>45850</v>
      </c>
      <c r="B65" s="16">
        <v>100</v>
      </c>
      <c r="C65" s="15">
        <f t="shared" si="6"/>
        <v>7962</v>
      </c>
      <c r="D65" s="16"/>
      <c r="E65" s="16">
        <f t="shared" si="7"/>
        <v>7043</v>
      </c>
      <c r="F65" s="15">
        <f t="shared" si="8"/>
        <v>919</v>
      </c>
    </row>
    <row r="66" spans="1:6" x14ac:dyDescent="0.25">
      <c r="A66" s="13">
        <v>45851</v>
      </c>
      <c r="B66" s="16"/>
      <c r="C66" s="15">
        <f t="shared" si="6"/>
        <v>7962</v>
      </c>
      <c r="D66" s="16"/>
      <c r="E66" s="16">
        <f t="shared" si="7"/>
        <v>7043</v>
      </c>
      <c r="F66" s="15">
        <f t="shared" si="8"/>
        <v>919</v>
      </c>
    </row>
    <row r="67" spans="1:6" x14ac:dyDescent="0.25">
      <c r="A67" s="13">
        <v>45852</v>
      </c>
      <c r="B67" s="14">
        <v>184</v>
      </c>
      <c r="C67">
        <f t="shared" si="6"/>
        <v>8146</v>
      </c>
      <c r="E67" s="14">
        <f t="shared" si="7"/>
        <v>7043</v>
      </c>
      <c r="F67">
        <f t="shared" si="8"/>
        <v>1103</v>
      </c>
    </row>
    <row r="68" spans="1:6" x14ac:dyDescent="0.25">
      <c r="A68" s="13">
        <v>45853</v>
      </c>
      <c r="B68" s="14">
        <v>185</v>
      </c>
      <c r="C68">
        <f t="shared" si="6"/>
        <v>8331</v>
      </c>
      <c r="D68" s="14">
        <v>755</v>
      </c>
      <c r="E68" s="14">
        <f t="shared" si="7"/>
        <v>7798</v>
      </c>
      <c r="F68">
        <f t="shared" si="8"/>
        <v>533</v>
      </c>
    </row>
    <row r="69" spans="1:6" x14ac:dyDescent="0.25">
      <c r="A69" s="13">
        <v>45854</v>
      </c>
      <c r="B69" s="14">
        <v>186</v>
      </c>
      <c r="C69">
        <f t="shared" si="6"/>
        <v>8517</v>
      </c>
      <c r="E69" s="14">
        <f t="shared" si="7"/>
        <v>7798</v>
      </c>
      <c r="F69">
        <f t="shared" si="8"/>
        <v>719</v>
      </c>
    </row>
    <row r="70" spans="1:6" x14ac:dyDescent="0.25">
      <c r="A70" s="13">
        <v>45855</v>
      </c>
      <c r="B70" s="14">
        <v>187</v>
      </c>
      <c r="C70">
        <f t="shared" si="6"/>
        <v>8704</v>
      </c>
      <c r="E70" s="14">
        <f t="shared" si="7"/>
        <v>7798</v>
      </c>
      <c r="F70">
        <f t="shared" si="8"/>
        <v>906</v>
      </c>
    </row>
    <row r="71" spans="1:6" x14ac:dyDescent="0.25">
      <c r="A71" s="13">
        <v>45856</v>
      </c>
      <c r="B71" s="14">
        <v>188</v>
      </c>
      <c r="C71">
        <f t="shared" si="6"/>
        <v>8892</v>
      </c>
      <c r="D71" s="14">
        <v>700</v>
      </c>
      <c r="E71" s="14">
        <f t="shared" si="7"/>
        <v>8498</v>
      </c>
      <c r="F71">
        <f t="shared" si="8"/>
        <v>394</v>
      </c>
    </row>
    <row r="72" spans="1:6" x14ac:dyDescent="0.25">
      <c r="A72" s="13">
        <v>45857</v>
      </c>
      <c r="B72" s="16"/>
      <c r="C72" s="15">
        <f t="shared" si="6"/>
        <v>8892</v>
      </c>
      <c r="D72" s="16"/>
      <c r="E72" s="16">
        <f t="shared" si="7"/>
        <v>8498</v>
      </c>
      <c r="F72" s="15">
        <f t="shared" si="8"/>
        <v>394</v>
      </c>
    </row>
    <row r="73" spans="1:6" x14ac:dyDescent="0.25">
      <c r="A73" s="13">
        <v>45858</v>
      </c>
      <c r="B73" s="16"/>
      <c r="C73" s="15">
        <f t="shared" si="6"/>
        <v>8892</v>
      </c>
      <c r="D73" s="16"/>
      <c r="E73" s="16">
        <f t="shared" si="7"/>
        <v>8498</v>
      </c>
      <c r="F73" s="15">
        <f t="shared" si="8"/>
        <v>394</v>
      </c>
    </row>
    <row r="74" spans="1:6" x14ac:dyDescent="0.25">
      <c r="A74" s="13">
        <v>45859</v>
      </c>
      <c r="B74" s="14">
        <v>191</v>
      </c>
      <c r="C74">
        <f t="shared" si="6"/>
        <v>9083</v>
      </c>
      <c r="E74" s="14">
        <f t="shared" si="7"/>
        <v>8498</v>
      </c>
      <c r="F74">
        <f t="shared" si="8"/>
        <v>585</v>
      </c>
    </row>
    <row r="75" spans="1:6" x14ac:dyDescent="0.25">
      <c r="A75" s="13">
        <v>45860</v>
      </c>
      <c r="B75" s="14">
        <v>192</v>
      </c>
      <c r="C75">
        <f t="shared" si="6"/>
        <v>9275</v>
      </c>
      <c r="E75" s="14">
        <f t="shared" si="7"/>
        <v>8498</v>
      </c>
      <c r="F75">
        <f t="shared" si="8"/>
        <v>777</v>
      </c>
    </row>
    <row r="76" spans="1:6" x14ac:dyDescent="0.25">
      <c r="A76" s="13">
        <v>45861</v>
      </c>
      <c r="B76" s="14">
        <v>193</v>
      </c>
      <c r="C76">
        <f t="shared" si="6"/>
        <v>9468</v>
      </c>
      <c r="E76" s="14">
        <f t="shared" si="7"/>
        <v>8498</v>
      </c>
      <c r="F76">
        <f t="shared" si="8"/>
        <v>970</v>
      </c>
    </row>
    <row r="77" spans="1:6" x14ac:dyDescent="0.25">
      <c r="A77" s="13">
        <v>45862</v>
      </c>
      <c r="B77" s="14">
        <v>194</v>
      </c>
      <c r="C77">
        <f t="shared" si="6"/>
        <v>9662</v>
      </c>
      <c r="E77" s="14">
        <f t="shared" si="7"/>
        <v>8498</v>
      </c>
      <c r="F77">
        <f t="shared" si="8"/>
        <v>1164</v>
      </c>
    </row>
    <row r="78" spans="1:6" x14ac:dyDescent="0.25">
      <c r="A78" s="13">
        <v>45863</v>
      </c>
      <c r="B78" s="14">
        <v>195</v>
      </c>
      <c r="C78">
        <f t="shared" si="6"/>
        <v>9857</v>
      </c>
      <c r="D78" s="14">
        <v>480</v>
      </c>
      <c r="E78" s="14">
        <f t="shared" si="7"/>
        <v>8978</v>
      </c>
      <c r="F78">
        <f t="shared" si="8"/>
        <v>879</v>
      </c>
    </row>
    <row r="79" spans="1:6" x14ac:dyDescent="0.25">
      <c r="A79" s="13">
        <v>45864</v>
      </c>
      <c r="B79" s="16"/>
      <c r="C79" s="15">
        <f t="shared" si="6"/>
        <v>9857</v>
      </c>
      <c r="D79" s="16"/>
      <c r="E79" s="16">
        <f t="shared" si="7"/>
        <v>8978</v>
      </c>
      <c r="F79" s="15">
        <f t="shared" si="8"/>
        <v>879</v>
      </c>
    </row>
    <row r="80" spans="1:6" x14ac:dyDescent="0.25">
      <c r="A80" s="13">
        <v>45865</v>
      </c>
      <c r="B80" s="16"/>
      <c r="C80" s="15">
        <f t="shared" si="6"/>
        <v>9857</v>
      </c>
      <c r="D80" s="16"/>
      <c r="E80" s="16">
        <f t="shared" si="7"/>
        <v>8978</v>
      </c>
      <c r="F80" s="15">
        <f t="shared" si="8"/>
        <v>879</v>
      </c>
    </row>
    <row r="81" spans="1:6" x14ac:dyDescent="0.25">
      <c r="A81" s="13">
        <v>45866</v>
      </c>
      <c r="B81" s="14">
        <v>198</v>
      </c>
      <c r="C81">
        <f t="shared" si="6"/>
        <v>10055</v>
      </c>
      <c r="E81" s="14">
        <f t="shared" si="7"/>
        <v>8978</v>
      </c>
      <c r="F81">
        <f t="shared" si="8"/>
        <v>1077</v>
      </c>
    </row>
    <row r="82" spans="1:6" x14ac:dyDescent="0.25">
      <c r="A82" s="13">
        <v>45867</v>
      </c>
      <c r="B82" s="14">
        <v>199</v>
      </c>
      <c r="C82">
        <f t="shared" si="6"/>
        <v>10254</v>
      </c>
      <c r="E82" s="14">
        <f t="shared" si="7"/>
        <v>8978</v>
      </c>
      <c r="F82">
        <f t="shared" si="8"/>
        <v>1276</v>
      </c>
    </row>
    <row r="83" spans="1:6" x14ac:dyDescent="0.25">
      <c r="A83" s="13">
        <v>45868</v>
      </c>
      <c r="B83" s="14">
        <v>200</v>
      </c>
      <c r="C83">
        <f t="shared" si="6"/>
        <v>10454</v>
      </c>
      <c r="E83" s="14">
        <f t="shared" si="7"/>
        <v>8978</v>
      </c>
      <c r="F83">
        <f t="shared" si="8"/>
        <v>1476</v>
      </c>
    </row>
    <row r="84" spans="1:6" x14ac:dyDescent="0.25">
      <c r="A84" s="13">
        <v>45869</v>
      </c>
      <c r="B84" s="14">
        <v>201</v>
      </c>
      <c r="C84">
        <f t="shared" si="6"/>
        <v>10655</v>
      </c>
      <c r="E84" s="14">
        <f t="shared" si="7"/>
        <v>8978</v>
      </c>
      <c r="F84">
        <f t="shared" si="8"/>
        <v>1677</v>
      </c>
    </row>
    <row r="85" spans="1:6" x14ac:dyDescent="0.25">
      <c r="A85" s="13">
        <v>45870</v>
      </c>
      <c r="B85" s="14">
        <v>202</v>
      </c>
      <c r="C85">
        <f t="shared" ref="C85" si="9">C84+B85</f>
        <v>10857</v>
      </c>
      <c r="E85" s="14">
        <f t="shared" ref="E85" si="10">E84+D85</f>
        <v>8978</v>
      </c>
      <c r="F85">
        <f t="shared" ref="F85" si="11">C85-E85</f>
        <v>1879</v>
      </c>
    </row>
    <row r="86" spans="1:6" x14ac:dyDescent="0.25">
      <c r="A86" s="13">
        <v>45871</v>
      </c>
      <c r="B86" s="16">
        <v>203</v>
      </c>
      <c r="C86" s="15">
        <f t="shared" ref="C86:C90" si="12">C85+B86</f>
        <v>11060</v>
      </c>
      <c r="D86" s="16"/>
      <c r="E86" s="16">
        <f t="shared" ref="E86:E90" si="13">E85+D86</f>
        <v>8978</v>
      </c>
      <c r="F86" s="15">
        <f t="shared" ref="F86:F90" si="14">C86-E86</f>
        <v>2082</v>
      </c>
    </row>
    <row r="87" spans="1:6" x14ac:dyDescent="0.25">
      <c r="A87" s="13">
        <v>45872</v>
      </c>
      <c r="B87" s="16">
        <v>204</v>
      </c>
      <c r="C87" s="15">
        <f t="shared" si="12"/>
        <v>11264</v>
      </c>
      <c r="D87" s="16"/>
      <c r="E87" s="16">
        <f t="shared" si="13"/>
        <v>8978</v>
      </c>
      <c r="F87" s="15">
        <f t="shared" si="14"/>
        <v>2286</v>
      </c>
    </row>
    <row r="88" spans="1:6" x14ac:dyDescent="0.25">
      <c r="A88" s="13">
        <v>45873</v>
      </c>
      <c r="B88" s="14">
        <v>205</v>
      </c>
      <c r="C88">
        <f t="shared" si="12"/>
        <v>11469</v>
      </c>
      <c r="E88" s="14">
        <f t="shared" si="13"/>
        <v>8978</v>
      </c>
      <c r="F88">
        <f t="shared" si="14"/>
        <v>2491</v>
      </c>
    </row>
    <row r="89" spans="1:6" x14ac:dyDescent="0.25">
      <c r="A89" s="13">
        <v>45874</v>
      </c>
      <c r="B89" s="14">
        <v>206</v>
      </c>
      <c r="C89">
        <f t="shared" si="12"/>
        <v>11675</v>
      </c>
      <c r="E89" s="14">
        <f t="shared" si="13"/>
        <v>8978</v>
      </c>
      <c r="F89">
        <f t="shared" si="14"/>
        <v>2697</v>
      </c>
    </row>
    <row r="90" spans="1:6" x14ac:dyDescent="0.25">
      <c r="A90" s="13">
        <v>45875</v>
      </c>
      <c r="B90" s="14">
        <v>207</v>
      </c>
      <c r="C90">
        <f t="shared" si="12"/>
        <v>11882</v>
      </c>
      <c r="E90" s="14">
        <f t="shared" si="13"/>
        <v>8978</v>
      </c>
      <c r="F90">
        <f t="shared" si="14"/>
        <v>2904</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Bovespa</vt:lpstr>
      <vt:lpstr>Streamlit</vt:lpstr>
      <vt:lpstr>Planilha3</vt:lpstr>
      <vt:lpstr>Fundamentus</vt: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2025-06-30T17:03:35Z</dcterms:modified>
</cp:coreProperties>
</file>